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defaultThemeVersion="166925"/>
  <mc:AlternateContent xmlns:mc="http://schemas.openxmlformats.org/markup-compatibility/2006">
    <mc:Choice Requires="x15">
      <x15ac:absPath xmlns:x15ac="http://schemas.microsoft.com/office/spreadsheetml/2010/11/ac" url="C:\Users\JoAnne Huie\All Clear Dropbox\_Projects\VDH_VT\HealthEquity_2022-2023\4_Workshop\"/>
    </mc:Choice>
  </mc:AlternateContent>
  <xr:revisionPtr revIDLastSave="0" documentId="13_ncr:1_{FE925C44-3147-44BD-A3EC-5A4581FEDA10}" xr6:coauthVersionLast="47" xr6:coauthVersionMax="47" xr10:uidLastSave="{00000000-0000-0000-0000-000000000000}"/>
  <bookViews>
    <workbookView xWindow="-120" yWindow="-120" windowWidth="29040" windowHeight="15840" tabRatio="699" xr2:uid="{A59C5916-2F09-4030-AA39-0AB6A5B49576}"/>
  </bookViews>
  <sheets>
    <sheet name="Instructions" sheetId="1" r:id="rId1"/>
    <sheet name="InputHazards" sheetId="2" r:id="rId2"/>
    <sheet name="InputCounties" sheetId="11" r:id="rId3"/>
    <sheet name="Hazard 1" sheetId="3" r:id="rId4"/>
    <sheet name="Hazard 2" sheetId="12" r:id="rId5"/>
    <sheet name="Hazard 3" sheetId="13" r:id="rId6"/>
    <sheet name="Hazard 4" sheetId="14" r:id="rId7"/>
    <sheet name="Hazard 5" sheetId="15" r:id="rId8"/>
    <sheet name="Summary Results" sheetId="8" r:id="rId9"/>
    <sheet name="Data Bibliography" sheetId="16" r:id="rId10"/>
    <sheet name="DataSource" sheetId="9" state="hidden" r:id="rId11"/>
    <sheet name="TableCalculations" sheetId="10" state="hidden" r:id="rId12"/>
  </sheets>
  <calcPr calcId="191029"/>
  <pivotCaches>
    <pivotCache cacheId="0"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7" i="8" l="1"/>
  <c r="G37" i="8"/>
  <c r="F37" i="8"/>
  <c r="E37" i="8"/>
  <c r="E2" i="15"/>
  <c r="B2" i="15"/>
  <c r="E2" i="14"/>
  <c r="B2" i="14"/>
  <c r="E2" i="13"/>
  <c r="B2" i="13"/>
  <c r="I39" i="15"/>
  <c r="B39" i="15"/>
  <c r="I38" i="15"/>
  <c r="B38" i="15"/>
  <c r="I37" i="15"/>
  <c r="B37" i="15"/>
  <c r="I36" i="15"/>
  <c r="B36" i="15"/>
  <c r="I35" i="15"/>
  <c r="B35" i="15"/>
  <c r="I34" i="15"/>
  <c r="B34" i="15"/>
  <c r="I33" i="15"/>
  <c r="B33" i="15"/>
  <c r="I32" i="15"/>
  <c r="B32" i="15"/>
  <c r="I31" i="15"/>
  <c r="B31" i="15"/>
  <c r="I30" i="15"/>
  <c r="B30" i="15"/>
  <c r="I29" i="15"/>
  <c r="B29" i="15"/>
  <c r="I28" i="15"/>
  <c r="B28" i="15"/>
  <c r="A28" i="15"/>
  <c r="I27" i="15"/>
  <c r="B27" i="15"/>
  <c r="I26" i="15"/>
  <c r="B26" i="15"/>
  <c r="I25" i="15"/>
  <c r="B25" i="15"/>
  <c r="I24" i="15"/>
  <c r="B24" i="15"/>
  <c r="I23" i="15"/>
  <c r="B23" i="15"/>
  <c r="I22" i="15"/>
  <c r="B22" i="15"/>
  <c r="I21" i="15"/>
  <c r="B21" i="15"/>
  <c r="A21" i="15"/>
  <c r="I20" i="15"/>
  <c r="B20" i="15"/>
  <c r="I19" i="15"/>
  <c r="B19" i="15"/>
  <c r="I18" i="15"/>
  <c r="B18" i="15"/>
  <c r="I17" i="15"/>
  <c r="B17" i="15"/>
  <c r="I16" i="15"/>
  <c r="B16" i="15"/>
  <c r="A16" i="15"/>
  <c r="I15" i="15"/>
  <c r="B15" i="15"/>
  <c r="I14" i="15"/>
  <c r="B14" i="15"/>
  <c r="I13" i="15"/>
  <c r="B13" i="15"/>
  <c r="I12" i="15"/>
  <c r="B12" i="15"/>
  <c r="I11" i="15"/>
  <c r="B11" i="15"/>
  <c r="I10" i="15"/>
  <c r="B10" i="15"/>
  <c r="A10" i="15"/>
  <c r="I9" i="15"/>
  <c r="B9" i="15"/>
  <c r="I8" i="15"/>
  <c r="B8" i="15"/>
  <c r="I7" i="15"/>
  <c r="B7" i="15"/>
  <c r="I6" i="15"/>
  <c r="B6" i="15"/>
  <c r="A6" i="15"/>
  <c r="I39" i="14"/>
  <c r="B39" i="14"/>
  <c r="I38" i="14"/>
  <c r="B38" i="14"/>
  <c r="I37" i="14"/>
  <c r="B37" i="14"/>
  <c r="I36" i="14"/>
  <c r="B36" i="14"/>
  <c r="I35" i="14"/>
  <c r="B35" i="14"/>
  <c r="I34" i="14"/>
  <c r="B34" i="14"/>
  <c r="I33" i="14"/>
  <c r="B33" i="14"/>
  <c r="I32" i="14"/>
  <c r="B32" i="14"/>
  <c r="I31" i="14"/>
  <c r="B31" i="14"/>
  <c r="I30" i="14"/>
  <c r="B30" i="14"/>
  <c r="I29" i="14"/>
  <c r="B29" i="14"/>
  <c r="I28" i="14"/>
  <c r="B28" i="14"/>
  <c r="A28" i="14"/>
  <c r="I27" i="14"/>
  <c r="B27" i="14"/>
  <c r="I26" i="14"/>
  <c r="B26" i="14"/>
  <c r="I25" i="14"/>
  <c r="B25" i="14"/>
  <c r="I24" i="14"/>
  <c r="B24" i="14"/>
  <c r="I23" i="14"/>
  <c r="B23" i="14"/>
  <c r="I22" i="14"/>
  <c r="B22" i="14"/>
  <c r="I21" i="14"/>
  <c r="B21" i="14"/>
  <c r="A21" i="14"/>
  <c r="I20" i="14"/>
  <c r="B20" i="14"/>
  <c r="I19" i="14"/>
  <c r="B19" i="14"/>
  <c r="I18" i="14"/>
  <c r="B18" i="14"/>
  <c r="I17" i="14"/>
  <c r="B17" i="14"/>
  <c r="I16" i="14"/>
  <c r="B16" i="14"/>
  <c r="A16" i="14"/>
  <c r="I15" i="14"/>
  <c r="B15" i="14"/>
  <c r="I14" i="14"/>
  <c r="B14" i="14"/>
  <c r="I13" i="14"/>
  <c r="B13" i="14"/>
  <c r="I12" i="14"/>
  <c r="B12" i="14"/>
  <c r="I11" i="14"/>
  <c r="B11" i="14"/>
  <c r="I10" i="14"/>
  <c r="B10" i="14"/>
  <c r="A10" i="14"/>
  <c r="I9" i="14"/>
  <c r="B9" i="14"/>
  <c r="I8" i="14"/>
  <c r="B8" i="14"/>
  <c r="I7" i="14"/>
  <c r="B7" i="14"/>
  <c r="I6" i="14"/>
  <c r="B6" i="14"/>
  <c r="A6" i="14"/>
  <c r="I39" i="13"/>
  <c r="B39" i="13"/>
  <c r="I38" i="13"/>
  <c r="B38" i="13"/>
  <c r="I37" i="13"/>
  <c r="B37" i="13"/>
  <c r="I36" i="13"/>
  <c r="B36" i="13"/>
  <c r="I35" i="13"/>
  <c r="B35" i="13"/>
  <c r="I34" i="13"/>
  <c r="B34" i="13"/>
  <c r="I33" i="13"/>
  <c r="B33" i="13"/>
  <c r="I32" i="13"/>
  <c r="B32" i="13"/>
  <c r="I31" i="13"/>
  <c r="B31" i="13"/>
  <c r="I30" i="13"/>
  <c r="B30" i="13"/>
  <c r="I29" i="13"/>
  <c r="B29" i="13"/>
  <c r="I28" i="13"/>
  <c r="B28" i="13"/>
  <c r="A28" i="13"/>
  <c r="I27" i="13"/>
  <c r="B27" i="13"/>
  <c r="I26" i="13"/>
  <c r="B26" i="13"/>
  <c r="I25" i="13"/>
  <c r="B25" i="13"/>
  <c r="I24" i="13"/>
  <c r="B24" i="13"/>
  <c r="I23" i="13"/>
  <c r="B23" i="13"/>
  <c r="I22" i="13"/>
  <c r="B22" i="13"/>
  <c r="I21" i="13"/>
  <c r="B21" i="13"/>
  <c r="A21" i="13"/>
  <c r="I20" i="13"/>
  <c r="B20" i="13"/>
  <c r="I19" i="13"/>
  <c r="B19" i="13"/>
  <c r="I18" i="13"/>
  <c r="B18" i="13"/>
  <c r="I17" i="13"/>
  <c r="B17" i="13"/>
  <c r="I16" i="13"/>
  <c r="B16" i="13"/>
  <c r="A16" i="13"/>
  <c r="I15" i="13"/>
  <c r="B15" i="13"/>
  <c r="I14" i="13"/>
  <c r="B14" i="13"/>
  <c r="I13" i="13"/>
  <c r="B13" i="13"/>
  <c r="I12" i="13"/>
  <c r="B12" i="13"/>
  <c r="I11" i="13"/>
  <c r="B11" i="13"/>
  <c r="I10" i="13"/>
  <c r="B10" i="13"/>
  <c r="A10" i="13"/>
  <c r="I9" i="13"/>
  <c r="B9" i="13"/>
  <c r="I8" i="13"/>
  <c r="B8" i="13"/>
  <c r="I7" i="13"/>
  <c r="B7" i="13"/>
  <c r="I6" i="13"/>
  <c r="B6" i="13"/>
  <c r="A6" i="13"/>
  <c r="E2" i="12"/>
  <c r="B2" i="12"/>
  <c r="I39" i="12"/>
  <c r="B39" i="12"/>
  <c r="I38" i="12"/>
  <c r="B38" i="12"/>
  <c r="I37" i="12"/>
  <c r="B37" i="12"/>
  <c r="I36" i="12"/>
  <c r="B36" i="12"/>
  <c r="I35" i="12"/>
  <c r="B35" i="12"/>
  <c r="I34" i="12"/>
  <c r="B34" i="12"/>
  <c r="I33" i="12"/>
  <c r="B33" i="12"/>
  <c r="I32" i="12"/>
  <c r="B32" i="12"/>
  <c r="I31" i="12"/>
  <c r="B31" i="12"/>
  <c r="I30" i="12"/>
  <c r="B30" i="12"/>
  <c r="I29" i="12"/>
  <c r="B29" i="12"/>
  <c r="I28" i="12"/>
  <c r="B28" i="12"/>
  <c r="A28" i="12"/>
  <c r="I27" i="12"/>
  <c r="B27" i="12"/>
  <c r="I26" i="12"/>
  <c r="B26" i="12"/>
  <c r="I25" i="12"/>
  <c r="B25" i="12"/>
  <c r="I24" i="12"/>
  <c r="B24" i="12"/>
  <c r="I23" i="12"/>
  <c r="B23" i="12"/>
  <c r="I22" i="12"/>
  <c r="B22" i="12"/>
  <c r="I21" i="12"/>
  <c r="B21" i="12"/>
  <c r="A21" i="12"/>
  <c r="I20" i="12"/>
  <c r="B20" i="12"/>
  <c r="I19" i="12"/>
  <c r="B19" i="12"/>
  <c r="I18" i="12"/>
  <c r="B18" i="12"/>
  <c r="I17" i="12"/>
  <c r="B17" i="12"/>
  <c r="I16" i="12"/>
  <c r="B16" i="12"/>
  <c r="A16" i="12"/>
  <c r="I15" i="12"/>
  <c r="B15" i="12"/>
  <c r="I14" i="12"/>
  <c r="B14" i="12"/>
  <c r="I13" i="12"/>
  <c r="B13" i="12"/>
  <c r="I12" i="12"/>
  <c r="B12" i="12"/>
  <c r="I11" i="12"/>
  <c r="B11" i="12"/>
  <c r="I10" i="12"/>
  <c r="B10" i="12"/>
  <c r="A10" i="12"/>
  <c r="I9" i="12"/>
  <c r="B9" i="12"/>
  <c r="I8" i="12"/>
  <c r="B8" i="12"/>
  <c r="I7" i="12"/>
  <c r="B7" i="12"/>
  <c r="I6" i="12"/>
  <c r="B6" i="12"/>
  <c r="A6" i="12"/>
  <c r="H2" i="8"/>
  <c r="G2" i="8"/>
  <c r="F2" i="8"/>
  <c r="E2" i="8"/>
  <c r="D2" i="8"/>
  <c r="D37" i="8"/>
  <c r="D38" i="10"/>
  <c r="D15" i="10"/>
  <c r="D25" i="10"/>
  <c r="D36" i="10"/>
  <c r="D44" i="10"/>
  <c r="D40" i="10"/>
  <c r="I2" i="14"/>
  <c r="D22" i="10"/>
  <c r="D30" i="10"/>
  <c r="D18" i="10"/>
  <c r="D24" i="10"/>
  <c r="D26" i="10"/>
  <c r="D13" i="10"/>
  <c r="D12" i="10"/>
  <c r="D37" i="10"/>
  <c r="D33" i="10"/>
  <c r="D29" i="10"/>
  <c r="D16" i="10"/>
  <c r="D42" i="10"/>
  <c r="D23" i="10"/>
  <c r="D34" i="10"/>
  <c r="D41" i="10"/>
  <c r="D11" i="10"/>
  <c r="D17" i="10"/>
  <c r="I2" i="3"/>
  <c r="D21" i="10"/>
  <c r="D32" i="10"/>
  <c r="D43" i="10"/>
  <c r="D20" i="10"/>
  <c r="D28" i="10"/>
  <c r="I2" i="12"/>
  <c r="D19" i="10"/>
  <c r="D31" i="10"/>
  <c r="D27" i="10"/>
  <c r="I2" i="15"/>
  <c r="D14" i="10"/>
  <c r="D39" i="10"/>
  <c r="I2" i="13"/>
  <c r="D35" i="10"/>
  <c r="D14" i="12" l="1"/>
  <c r="D14" i="15"/>
  <c r="D14" i="14"/>
  <c r="D14" i="13"/>
  <c r="D36" i="15"/>
  <c r="D36" i="13"/>
  <c r="D36" i="12"/>
  <c r="D36" i="14"/>
  <c r="D28" i="15"/>
  <c r="D28" i="14"/>
  <c r="D28" i="13"/>
  <c r="D28" i="12"/>
  <c r="D20" i="12"/>
  <c r="D20" i="15"/>
  <c r="D20" i="14"/>
  <c r="D20" i="13"/>
  <c r="D12" i="12"/>
  <c r="D12" i="15"/>
  <c r="D12" i="14"/>
  <c r="D12" i="13"/>
  <c r="D22" i="12"/>
  <c r="D22" i="15"/>
  <c r="D22" i="14"/>
  <c r="D22" i="13"/>
  <c r="D21" i="13"/>
  <c r="D21" i="12"/>
  <c r="D21" i="15"/>
  <c r="D21" i="14"/>
  <c r="D35" i="12"/>
  <c r="D35" i="14"/>
  <c r="D35" i="15"/>
  <c r="D35" i="13"/>
  <c r="D27" i="14"/>
  <c r="D27" i="12"/>
  <c r="D27" i="13"/>
  <c r="D27" i="15"/>
  <c r="D19" i="13"/>
  <c r="D19" i="12"/>
  <c r="D19" i="15"/>
  <c r="D19" i="14"/>
  <c r="D11" i="14"/>
  <c r="D11" i="15"/>
  <c r="D11" i="13"/>
  <c r="D11" i="12"/>
  <c r="D30" i="15"/>
  <c r="D30" i="13"/>
  <c r="D30" i="14"/>
  <c r="D30" i="12"/>
  <c r="D13" i="14"/>
  <c r="D13" i="13"/>
  <c r="D13" i="15"/>
  <c r="D13" i="12"/>
  <c r="D34" i="15"/>
  <c r="D34" i="13"/>
  <c r="D34" i="12"/>
  <c r="D34" i="14"/>
  <c r="D26" i="15"/>
  <c r="D26" i="14"/>
  <c r="D26" i="13"/>
  <c r="D26" i="12"/>
  <c r="D18" i="12"/>
  <c r="D18" i="15"/>
  <c r="D18" i="14"/>
  <c r="D18" i="13"/>
  <c r="D10" i="15"/>
  <c r="D10" i="12"/>
  <c r="D10" i="13"/>
  <c r="D10" i="14"/>
  <c r="D33" i="12"/>
  <c r="D33" i="14"/>
  <c r="D33" i="15"/>
  <c r="D33" i="13"/>
  <c r="D25" i="14"/>
  <c r="D25" i="13"/>
  <c r="D25" i="12"/>
  <c r="D25" i="15"/>
  <c r="D17" i="13"/>
  <c r="D17" i="15"/>
  <c r="D17" i="12"/>
  <c r="D17" i="14"/>
  <c r="D9" i="15"/>
  <c r="D9" i="12"/>
  <c r="D9" i="14"/>
  <c r="D9" i="13"/>
  <c r="D38" i="15"/>
  <c r="D38" i="13"/>
  <c r="D38" i="12"/>
  <c r="D38" i="14"/>
  <c r="D37" i="12"/>
  <c r="D37" i="14"/>
  <c r="D37" i="15"/>
  <c r="D37" i="13"/>
  <c r="D32" i="15"/>
  <c r="D32" i="13"/>
  <c r="D32" i="12"/>
  <c r="D32" i="14"/>
  <c r="D24" i="12"/>
  <c r="D24" i="15"/>
  <c r="D24" i="14"/>
  <c r="D24" i="13"/>
  <c r="D16" i="12"/>
  <c r="D16" i="15"/>
  <c r="D16" i="14"/>
  <c r="D16" i="13"/>
  <c r="D8" i="13"/>
  <c r="D8" i="12"/>
  <c r="D8" i="15"/>
  <c r="D8" i="14"/>
  <c r="D29" i="12"/>
  <c r="D29" i="14"/>
  <c r="D29" i="15"/>
  <c r="D29" i="13"/>
  <c r="D39" i="12"/>
  <c r="D39" i="14"/>
  <c r="D39" i="15"/>
  <c r="D39" i="13"/>
  <c r="D31" i="12"/>
  <c r="D31" i="13"/>
  <c r="D31" i="14"/>
  <c r="D31" i="15"/>
  <c r="D23" i="13"/>
  <c r="D23" i="12"/>
  <c r="D23" i="14"/>
  <c r="D23" i="15"/>
  <c r="D15" i="14"/>
  <c r="D15" i="15"/>
  <c r="D15" i="12"/>
  <c r="D15" i="13"/>
  <c r="D7" i="15"/>
  <c r="D7" i="12"/>
  <c r="D7" i="14"/>
  <c r="D7" i="13"/>
  <c r="D6" i="12"/>
  <c r="D6" i="13"/>
  <c r="D6" i="15"/>
  <c r="D6" i="14"/>
  <c r="D7" i="3" l="1"/>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6" i="3"/>
  <c r="E2" i="3"/>
  <c r="B2" i="3"/>
  <c r="B12" i="3" l="1"/>
  <c r="B13" i="3"/>
  <c r="B14" i="3"/>
  <c r="B15" i="3"/>
  <c r="B16" i="3"/>
  <c r="B17" i="3"/>
  <c r="B18" i="3"/>
  <c r="B19" i="3"/>
  <c r="B20" i="3"/>
  <c r="B21" i="3"/>
  <c r="B22" i="3"/>
  <c r="B23" i="3"/>
  <c r="B24" i="3"/>
  <c r="B25" i="3"/>
  <c r="B26" i="3"/>
  <c r="B27" i="3"/>
  <c r="B28" i="3"/>
  <c r="B29" i="3"/>
  <c r="B30" i="3"/>
  <c r="B31" i="3"/>
  <c r="B32" i="3"/>
  <c r="B33" i="3"/>
  <c r="B34" i="3"/>
  <c r="B35" i="3"/>
  <c r="B36" i="3"/>
  <c r="B37" i="3"/>
  <c r="B38" i="3"/>
  <c r="B39" i="3"/>
  <c r="B11" i="3"/>
  <c r="B10" i="3"/>
  <c r="B9" i="3"/>
  <c r="B8" i="3"/>
  <c r="B7" i="3"/>
  <c r="B6" i="3"/>
  <c r="A28" i="3"/>
  <c r="A21" i="3"/>
  <c r="A16" i="3"/>
  <c r="A10" i="3"/>
  <c r="A6" i="3"/>
  <c r="PN16" i="9"/>
  <c r="PL16" i="9"/>
  <c r="KF16" i="9"/>
  <c r="IJ16" i="9"/>
  <c r="IF16" i="9"/>
  <c r="IB16" i="9"/>
  <c r="PN15" i="9"/>
  <c r="PL15" i="9"/>
  <c r="KF15" i="9"/>
  <c r="IJ15" i="9"/>
  <c r="IF15" i="9"/>
  <c r="IB15" i="9"/>
  <c r="PN14" i="9"/>
  <c r="PL14" i="9"/>
  <c r="KF14" i="9"/>
  <c r="IJ14" i="9"/>
  <c r="IF14" i="9"/>
  <c r="IB14" i="9"/>
  <c r="PN13" i="9"/>
  <c r="PL13" i="9"/>
  <c r="KF13" i="9"/>
  <c r="IJ13" i="9"/>
  <c r="IF13" i="9"/>
  <c r="IB13" i="9"/>
  <c r="PN12" i="9"/>
  <c r="PL12" i="9"/>
  <c r="KF12" i="9"/>
  <c r="IJ12" i="9"/>
  <c r="IF12" i="9"/>
  <c r="IB12" i="9"/>
  <c r="PN11" i="9"/>
  <c r="PL11" i="9"/>
  <c r="KF11" i="9"/>
  <c r="IJ11" i="9"/>
  <c r="IF11" i="9"/>
  <c r="IB11" i="9"/>
  <c r="PN10" i="9"/>
  <c r="PL10" i="9"/>
  <c r="KF10" i="9"/>
  <c r="IJ10" i="9"/>
  <c r="IF10" i="9"/>
  <c r="IB10" i="9"/>
  <c r="PN9" i="9"/>
  <c r="PL9" i="9"/>
  <c r="KF9" i="9"/>
  <c r="IJ9" i="9"/>
  <c r="IF9" i="9"/>
  <c r="IB9" i="9"/>
  <c r="PN8" i="9"/>
  <c r="PL8" i="9"/>
  <c r="KF8" i="9"/>
  <c r="IJ8" i="9"/>
  <c r="IF8" i="9"/>
  <c r="IB8" i="9"/>
  <c r="PN7" i="9"/>
  <c r="PL7" i="9"/>
  <c r="KF7" i="9"/>
  <c r="IJ7" i="9"/>
  <c r="IF7" i="9"/>
  <c r="IB7" i="9"/>
  <c r="PN6" i="9"/>
  <c r="PL6" i="9"/>
  <c r="KF6" i="9"/>
  <c r="IJ6" i="9"/>
  <c r="IF6" i="9"/>
  <c r="IB6" i="9"/>
  <c r="PN5" i="9"/>
  <c r="PL5" i="9"/>
  <c r="KF5" i="9"/>
  <c r="IJ5" i="9"/>
  <c r="IF5" i="9"/>
  <c r="IB5" i="9"/>
  <c r="PN4" i="9"/>
  <c r="PL4" i="9"/>
  <c r="KF4" i="9"/>
  <c r="IJ4" i="9"/>
  <c r="IF4" i="9"/>
  <c r="IB4" i="9"/>
  <c r="PN3" i="9"/>
  <c r="PL3" i="9"/>
  <c r="KF3" i="9"/>
  <c r="IJ3" i="9"/>
  <c r="IF3" i="9"/>
  <c r="IB3" i="9"/>
  <c r="AC2" i="11"/>
  <c r="O2" i="11"/>
  <c r="AA2" i="11"/>
  <c r="X2" i="11"/>
  <c r="V2" i="11"/>
  <c r="AB2" i="11"/>
  <c r="E2" i="11"/>
  <c r="C2" i="11"/>
  <c r="AG2" i="11"/>
  <c r="W2" i="11"/>
  <c r="AJ2" i="11"/>
  <c r="AD2" i="11"/>
  <c r="AE2" i="11"/>
  <c r="P2" i="11"/>
  <c r="M2" i="11"/>
  <c r="F2" i="11"/>
  <c r="S2" i="11"/>
  <c r="AF2" i="11"/>
  <c r="K2" i="11"/>
  <c r="N2" i="11"/>
  <c r="Y2" i="11"/>
  <c r="I2" i="11"/>
  <c r="D2" i="11"/>
  <c r="AH2" i="11"/>
  <c r="L2" i="11"/>
  <c r="U2" i="11"/>
  <c r="AI2" i="11"/>
  <c r="R2" i="11"/>
  <c r="G2" i="11"/>
  <c r="H2" i="11"/>
  <c r="Z2" i="11"/>
  <c r="Q2" i="11"/>
  <c r="J2" i="11"/>
  <c r="T2" i="11"/>
  <c r="C36" i="10" l="1"/>
  <c r="C37" i="10"/>
  <c r="C38" i="10"/>
  <c r="C39" i="10"/>
  <c r="C40" i="10"/>
  <c r="C41" i="10"/>
  <c r="C42" i="10"/>
  <c r="C43" i="10"/>
  <c r="C44" i="10"/>
  <c r="C35" i="10"/>
  <c r="C11" i="10"/>
  <c r="C12" i="10"/>
  <c r="C13" i="10"/>
  <c r="C14" i="10"/>
  <c r="C15" i="10"/>
  <c r="C16" i="10"/>
  <c r="C17" i="10"/>
  <c r="C18" i="10"/>
  <c r="C19" i="10"/>
  <c r="C21" i="10"/>
  <c r="C22" i="10"/>
  <c r="C20" i="10"/>
  <c r="C23" i="10"/>
  <c r="C24" i="10"/>
  <c r="C25" i="10"/>
  <c r="C26" i="10"/>
  <c r="C27" i="10"/>
  <c r="C28" i="10"/>
  <c r="C29" i="10"/>
  <c r="C30" i="10"/>
  <c r="C31" i="10"/>
  <c r="C32" i="10"/>
  <c r="C33" i="10"/>
  <c r="C34" i="10"/>
  <c r="C11" i="12" l="1"/>
  <c r="J11" i="12" s="1"/>
  <c r="E8" i="8" s="1"/>
  <c r="C11" i="15"/>
  <c r="J11" i="15" s="1"/>
  <c r="H8" i="8" s="1"/>
  <c r="C11" i="14"/>
  <c r="J11" i="14" s="1"/>
  <c r="G8" i="8" s="1"/>
  <c r="C11" i="13"/>
  <c r="J11" i="13" s="1"/>
  <c r="F8" i="8" s="1"/>
  <c r="C11" i="3"/>
  <c r="J11" i="3" s="1"/>
  <c r="D8" i="8" s="1"/>
  <c r="C27" i="15"/>
  <c r="J27" i="15" s="1"/>
  <c r="H24" i="8" s="1"/>
  <c r="C27" i="14"/>
  <c r="J27" i="14" s="1"/>
  <c r="G24" i="8" s="1"/>
  <c r="C27" i="13"/>
  <c r="J27" i="13" s="1"/>
  <c r="F24" i="8" s="1"/>
  <c r="C27" i="12"/>
  <c r="J27" i="12" s="1"/>
  <c r="E24" i="8" s="1"/>
  <c r="C27" i="3"/>
  <c r="J27" i="3" s="1"/>
  <c r="D24" i="8" s="1"/>
  <c r="C8" i="12"/>
  <c r="J8" i="12" s="1"/>
  <c r="E5" i="8" s="1"/>
  <c r="C8" i="13"/>
  <c r="J8" i="13" s="1"/>
  <c r="F5" i="8" s="1"/>
  <c r="C8" i="15"/>
  <c r="J8" i="15" s="1"/>
  <c r="H5" i="8" s="1"/>
  <c r="C8" i="14"/>
  <c r="J8" i="14" s="1"/>
  <c r="G5" i="8" s="1"/>
  <c r="C8" i="3"/>
  <c r="J8" i="3" s="1"/>
  <c r="D5" i="8" s="1"/>
  <c r="C19" i="15"/>
  <c r="J19" i="15" s="1"/>
  <c r="H16" i="8" s="1"/>
  <c r="C19" i="14"/>
  <c r="J19" i="14" s="1"/>
  <c r="G16" i="8" s="1"/>
  <c r="C19" i="13"/>
  <c r="J19" i="13" s="1"/>
  <c r="F16" i="8" s="1"/>
  <c r="C19" i="12"/>
  <c r="J19" i="12" s="1"/>
  <c r="E16" i="8" s="1"/>
  <c r="C19" i="3"/>
  <c r="J19" i="3" s="1"/>
  <c r="D16" i="8" s="1"/>
  <c r="C26" i="14"/>
  <c r="J26" i="14" s="1"/>
  <c r="G23" i="8" s="1"/>
  <c r="C26" i="13"/>
  <c r="J26" i="13" s="1"/>
  <c r="F23" i="8" s="1"/>
  <c r="C26" i="15"/>
  <c r="J26" i="15" s="1"/>
  <c r="H23" i="8" s="1"/>
  <c r="C26" i="12"/>
  <c r="J26" i="12" s="1"/>
  <c r="E23" i="8" s="1"/>
  <c r="C26" i="3"/>
  <c r="J26" i="3" s="1"/>
  <c r="D23" i="8" s="1"/>
  <c r="C10" i="12"/>
  <c r="J10" i="12" s="1"/>
  <c r="E7" i="8" s="1"/>
  <c r="C10" i="13"/>
  <c r="J10" i="13" s="1"/>
  <c r="F7" i="8" s="1"/>
  <c r="C10" i="15"/>
  <c r="J10" i="15" s="1"/>
  <c r="H7" i="8" s="1"/>
  <c r="C10" i="14"/>
  <c r="J10" i="14" s="1"/>
  <c r="G7" i="8" s="1"/>
  <c r="C10" i="3"/>
  <c r="J10" i="3" s="1"/>
  <c r="D7" i="8" s="1"/>
  <c r="C25" i="12"/>
  <c r="J25" i="12" s="1"/>
  <c r="E22" i="8" s="1"/>
  <c r="C25" i="13"/>
  <c r="J25" i="13" s="1"/>
  <c r="F22" i="8" s="1"/>
  <c r="C25" i="15"/>
  <c r="J25" i="15" s="1"/>
  <c r="H22" i="8" s="1"/>
  <c r="C25" i="14"/>
  <c r="J25" i="14" s="1"/>
  <c r="G22" i="8" s="1"/>
  <c r="C25" i="3"/>
  <c r="J25" i="3" s="1"/>
  <c r="D22" i="8" s="1"/>
  <c r="C36" i="14"/>
  <c r="J36" i="14" s="1"/>
  <c r="G33" i="8" s="1"/>
  <c r="C36" i="13"/>
  <c r="J36" i="13" s="1"/>
  <c r="F33" i="8" s="1"/>
  <c r="C36" i="15"/>
  <c r="J36" i="15" s="1"/>
  <c r="H33" i="8" s="1"/>
  <c r="C36" i="12"/>
  <c r="J36" i="12" s="1"/>
  <c r="E33" i="8" s="1"/>
  <c r="C36" i="3"/>
  <c r="J36" i="3" s="1"/>
  <c r="D33" i="8" s="1"/>
  <c r="C17" i="13"/>
  <c r="J17" i="13" s="1"/>
  <c r="F14" i="8" s="1"/>
  <c r="C17" i="14"/>
  <c r="J17" i="14" s="1"/>
  <c r="G14" i="8" s="1"/>
  <c r="C17" i="12"/>
  <c r="J17" i="12" s="1"/>
  <c r="E14" i="8" s="1"/>
  <c r="C17" i="15"/>
  <c r="J17" i="15" s="1"/>
  <c r="H14" i="8" s="1"/>
  <c r="C17" i="3"/>
  <c r="J17" i="3" s="1"/>
  <c r="D14" i="8" s="1"/>
  <c r="C23" i="12"/>
  <c r="J23" i="12" s="1"/>
  <c r="E20" i="8" s="1"/>
  <c r="C23" i="13"/>
  <c r="J23" i="13" s="1"/>
  <c r="F20" i="8" s="1"/>
  <c r="C23" i="15"/>
  <c r="J23" i="15" s="1"/>
  <c r="H20" i="8" s="1"/>
  <c r="C23" i="14"/>
  <c r="J23" i="14" s="1"/>
  <c r="G20" i="8" s="1"/>
  <c r="C23" i="3"/>
  <c r="J23" i="3" s="1"/>
  <c r="D20" i="8" s="1"/>
  <c r="C7" i="14"/>
  <c r="J7" i="14" s="1"/>
  <c r="G4" i="8" s="1"/>
  <c r="C7" i="13"/>
  <c r="J7" i="13" s="1"/>
  <c r="F4" i="8" s="1"/>
  <c r="C7" i="12"/>
  <c r="J7" i="12" s="1"/>
  <c r="E4" i="8" s="1"/>
  <c r="C7" i="15"/>
  <c r="J7" i="15" s="1"/>
  <c r="H4" i="8" s="1"/>
  <c r="C7" i="3"/>
  <c r="J7" i="3" s="1"/>
  <c r="D4" i="8" s="1"/>
  <c r="C32" i="15"/>
  <c r="J32" i="15" s="1"/>
  <c r="H29" i="8" s="1"/>
  <c r="C32" i="12"/>
  <c r="J32" i="12" s="1"/>
  <c r="E29" i="8" s="1"/>
  <c r="C32" i="14"/>
  <c r="J32" i="14" s="1"/>
  <c r="G29" i="8" s="1"/>
  <c r="C32" i="13"/>
  <c r="J32" i="13" s="1"/>
  <c r="F29" i="8" s="1"/>
  <c r="C32" i="3"/>
  <c r="J32" i="3" s="1"/>
  <c r="D29" i="8" s="1"/>
  <c r="C38" i="14"/>
  <c r="J38" i="14" s="1"/>
  <c r="G35" i="8" s="1"/>
  <c r="C38" i="13"/>
  <c r="J38" i="13" s="1"/>
  <c r="F35" i="8" s="1"/>
  <c r="C38" i="15"/>
  <c r="J38" i="15" s="1"/>
  <c r="H35" i="8" s="1"/>
  <c r="C38" i="12"/>
  <c r="J38" i="12" s="1"/>
  <c r="E35" i="8" s="1"/>
  <c r="C38" i="3"/>
  <c r="J38" i="3" s="1"/>
  <c r="D35" i="8" s="1"/>
  <c r="C18" i="12"/>
  <c r="J18" i="12" s="1"/>
  <c r="E15" i="8" s="1"/>
  <c r="C18" i="15"/>
  <c r="J18" i="15" s="1"/>
  <c r="H15" i="8" s="1"/>
  <c r="C18" i="14"/>
  <c r="J18" i="14" s="1"/>
  <c r="G15" i="8" s="1"/>
  <c r="C18" i="13"/>
  <c r="J18" i="13" s="1"/>
  <c r="F15" i="8" s="1"/>
  <c r="C18" i="3"/>
  <c r="J18" i="3" s="1"/>
  <c r="D15" i="8" s="1"/>
  <c r="C37" i="15"/>
  <c r="J37" i="15" s="1"/>
  <c r="H34" i="8" s="1"/>
  <c r="C37" i="12"/>
  <c r="J37" i="12" s="1"/>
  <c r="E34" i="8" s="1"/>
  <c r="C37" i="13"/>
  <c r="J37" i="13" s="1"/>
  <c r="F34" i="8" s="1"/>
  <c r="C37" i="14"/>
  <c r="J37" i="14" s="1"/>
  <c r="G34" i="8" s="1"/>
  <c r="C37" i="3"/>
  <c r="J37" i="3" s="1"/>
  <c r="D34" i="8" s="1"/>
  <c r="C15" i="13"/>
  <c r="J15" i="13" s="1"/>
  <c r="F12" i="8" s="1"/>
  <c r="C15" i="12"/>
  <c r="J15" i="12" s="1"/>
  <c r="E12" i="8" s="1"/>
  <c r="C15" i="15"/>
  <c r="J15" i="15" s="1"/>
  <c r="H12" i="8" s="1"/>
  <c r="C15" i="14"/>
  <c r="J15" i="14" s="1"/>
  <c r="G12" i="8" s="1"/>
  <c r="C15" i="3"/>
  <c r="J15" i="3" s="1"/>
  <c r="D12" i="8" s="1"/>
  <c r="C9" i="15"/>
  <c r="J9" i="15" s="1"/>
  <c r="H6" i="8" s="1"/>
  <c r="C9" i="14"/>
  <c r="J9" i="14" s="1"/>
  <c r="G6" i="8" s="1"/>
  <c r="C9" i="13"/>
  <c r="J9" i="13" s="1"/>
  <c r="F6" i="8" s="1"/>
  <c r="C9" i="12"/>
  <c r="J9" i="12" s="1"/>
  <c r="E6" i="8" s="1"/>
  <c r="C9" i="3"/>
  <c r="J9" i="3" s="1"/>
  <c r="D6" i="8" s="1"/>
  <c r="C24" i="13"/>
  <c r="J24" i="13" s="1"/>
  <c r="F21" i="8" s="1"/>
  <c r="C24" i="15"/>
  <c r="J24" i="15" s="1"/>
  <c r="H21" i="8" s="1"/>
  <c r="C24" i="14"/>
  <c r="J24" i="14" s="1"/>
  <c r="G21" i="8" s="1"/>
  <c r="C24" i="12"/>
  <c r="J24" i="12" s="1"/>
  <c r="E21" i="8" s="1"/>
  <c r="C24" i="3"/>
  <c r="J24" i="3" s="1"/>
  <c r="D21" i="8" s="1"/>
  <c r="C35" i="12"/>
  <c r="J35" i="12" s="1"/>
  <c r="E32" i="8" s="1"/>
  <c r="C35" i="15"/>
  <c r="J35" i="15" s="1"/>
  <c r="H32" i="8" s="1"/>
  <c r="C35" i="14"/>
  <c r="J35" i="14" s="1"/>
  <c r="G32" i="8" s="1"/>
  <c r="C35" i="13"/>
  <c r="J35" i="13" s="1"/>
  <c r="F32" i="8" s="1"/>
  <c r="C35" i="3"/>
  <c r="J35" i="3" s="1"/>
  <c r="D32" i="8" s="1"/>
  <c r="C16" i="15"/>
  <c r="J16" i="15" s="1"/>
  <c r="H13" i="8" s="1"/>
  <c r="C16" i="14"/>
  <c r="J16" i="14" s="1"/>
  <c r="G13" i="8" s="1"/>
  <c r="C16" i="13"/>
  <c r="J16" i="13" s="1"/>
  <c r="F13" i="8" s="1"/>
  <c r="C16" i="12"/>
  <c r="J16" i="12" s="1"/>
  <c r="E13" i="8" s="1"/>
  <c r="C16" i="3"/>
  <c r="J16" i="3" s="1"/>
  <c r="D13" i="8" s="1"/>
  <c r="C34" i="14"/>
  <c r="J34" i="14" s="1"/>
  <c r="G31" i="8" s="1"/>
  <c r="C34" i="13"/>
  <c r="J34" i="13" s="1"/>
  <c r="F31" i="8" s="1"/>
  <c r="C34" i="15"/>
  <c r="J34" i="15" s="1"/>
  <c r="H31" i="8" s="1"/>
  <c r="C34" i="12"/>
  <c r="J34" i="12" s="1"/>
  <c r="E31" i="8" s="1"/>
  <c r="C34" i="3"/>
  <c r="J34" i="3" s="1"/>
  <c r="D31" i="8" s="1"/>
  <c r="C22" i="12"/>
  <c r="J22" i="12" s="1"/>
  <c r="E19" i="8" s="1"/>
  <c r="C22" i="15"/>
  <c r="J22" i="15" s="1"/>
  <c r="H19" i="8" s="1"/>
  <c r="C22" i="13"/>
  <c r="J22" i="13" s="1"/>
  <c r="F19" i="8" s="1"/>
  <c r="C22" i="14"/>
  <c r="J22" i="14" s="1"/>
  <c r="G19" i="8" s="1"/>
  <c r="C22" i="3"/>
  <c r="J22" i="3" s="1"/>
  <c r="D19" i="8" s="1"/>
  <c r="C14" i="15"/>
  <c r="J14" i="15" s="1"/>
  <c r="H11" i="8" s="1"/>
  <c r="C14" i="14"/>
  <c r="J14" i="14" s="1"/>
  <c r="G11" i="8" s="1"/>
  <c r="C14" i="13"/>
  <c r="J14" i="13" s="1"/>
  <c r="F11" i="8" s="1"/>
  <c r="C14" i="12"/>
  <c r="J14" i="12" s="1"/>
  <c r="E11" i="8" s="1"/>
  <c r="C14" i="3"/>
  <c r="J14" i="3" s="1"/>
  <c r="D11" i="8" s="1"/>
  <c r="C6" i="12"/>
  <c r="J6" i="12" s="1"/>
  <c r="E3" i="8" s="1"/>
  <c r="C6" i="15"/>
  <c r="J6" i="15" s="1"/>
  <c r="H3" i="8" s="1"/>
  <c r="C6" i="14"/>
  <c r="J6" i="14" s="1"/>
  <c r="G3" i="8" s="1"/>
  <c r="C6" i="13"/>
  <c r="J6" i="13" s="1"/>
  <c r="F3" i="8" s="1"/>
  <c r="C6" i="3"/>
  <c r="J6" i="3" s="1"/>
  <c r="D3" i="8" s="1"/>
  <c r="C33" i="12"/>
  <c r="J33" i="12" s="1"/>
  <c r="E30" i="8" s="1"/>
  <c r="C33" i="14"/>
  <c r="J33" i="14" s="1"/>
  <c r="G30" i="8" s="1"/>
  <c r="C33" i="13"/>
  <c r="J33" i="13" s="1"/>
  <c r="F30" i="8" s="1"/>
  <c r="C33" i="15"/>
  <c r="J33" i="15" s="1"/>
  <c r="H30" i="8" s="1"/>
  <c r="C33" i="3"/>
  <c r="J33" i="3" s="1"/>
  <c r="D30" i="8" s="1"/>
  <c r="C29" i="13"/>
  <c r="J29" i="13" s="1"/>
  <c r="F26" i="8" s="1"/>
  <c r="C29" i="15"/>
  <c r="J29" i="15" s="1"/>
  <c r="H26" i="8" s="1"/>
  <c r="C29" i="12"/>
  <c r="J29" i="12" s="1"/>
  <c r="E26" i="8" s="1"/>
  <c r="C29" i="14"/>
  <c r="J29" i="14" s="1"/>
  <c r="G26" i="8" s="1"/>
  <c r="C29" i="3"/>
  <c r="J29" i="3" s="1"/>
  <c r="D26" i="8" s="1"/>
  <c r="C21" i="15"/>
  <c r="J21" i="15" s="1"/>
  <c r="H18" i="8" s="1"/>
  <c r="C21" i="14"/>
  <c r="J21" i="14" s="1"/>
  <c r="G18" i="8" s="1"/>
  <c r="C21" i="13"/>
  <c r="J21" i="13" s="1"/>
  <c r="F18" i="8" s="1"/>
  <c r="C21" i="12"/>
  <c r="J21" i="12" s="1"/>
  <c r="E18" i="8" s="1"/>
  <c r="C21" i="3"/>
  <c r="J21" i="3" s="1"/>
  <c r="D18" i="8" s="1"/>
  <c r="C13" i="12"/>
  <c r="J13" i="12" s="1"/>
  <c r="E10" i="8" s="1"/>
  <c r="C13" i="15"/>
  <c r="J13" i="15" s="1"/>
  <c r="H10" i="8" s="1"/>
  <c r="C13" i="14"/>
  <c r="J13" i="14" s="1"/>
  <c r="G10" i="8" s="1"/>
  <c r="C13" i="13"/>
  <c r="J13" i="13" s="1"/>
  <c r="F10" i="8" s="1"/>
  <c r="C13" i="3"/>
  <c r="J13" i="3" s="1"/>
  <c r="D10" i="8" s="1"/>
  <c r="C30" i="12"/>
  <c r="J30" i="12" s="1"/>
  <c r="E27" i="8" s="1"/>
  <c r="C30" i="14"/>
  <c r="J30" i="14" s="1"/>
  <c r="G27" i="8" s="1"/>
  <c r="C30" i="13"/>
  <c r="J30" i="13" s="1"/>
  <c r="F27" i="8" s="1"/>
  <c r="C30" i="15"/>
  <c r="J30" i="15" s="1"/>
  <c r="H27" i="8" s="1"/>
  <c r="C30" i="3"/>
  <c r="J30" i="3" s="1"/>
  <c r="D27" i="8" s="1"/>
  <c r="C28" i="12"/>
  <c r="J28" i="12" s="1"/>
  <c r="E25" i="8" s="1"/>
  <c r="C28" i="14"/>
  <c r="J28" i="14" s="1"/>
  <c r="G25" i="8" s="1"/>
  <c r="C28" i="13"/>
  <c r="J28" i="13" s="1"/>
  <c r="F25" i="8" s="1"/>
  <c r="C28" i="15"/>
  <c r="J28" i="15" s="1"/>
  <c r="H25" i="8" s="1"/>
  <c r="C28" i="3"/>
  <c r="J28" i="3" s="1"/>
  <c r="D25" i="8" s="1"/>
  <c r="C20" i="12"/>
  <c r="J20" i="12" s="1"/>
  <c r="E17" i="8" s="1"/>
  <c r="C20" i="15"/>
  <c r="J20" i="15" s="1"/>
  <c r="H17" i="8" s="1"/>
  <c r="C20" i="14"/>
  <c r="J20" i="14" s="1"/>
  <c r="G17" i="8" s="1"/>
  <c r="C20" i="13"/>
  <c r="J20" i="13" s="1"/>
  <c r="F17" i="8" s="1"/>
  <c r="C20" i="3"/>
  <c r="J20" i="3" s="1"/>
  <c r="D17" i="8" s="1"/>
  <c r="C12" i="13"/>
  <c r="J12" i="13" s="1"/>
  <c r="F9" i="8" s="1"/>
  <c r="C12" i="15"/>
  <c r="J12" i="15" s="1"/>
  <c r="H9" i="8" s="1"/>
  <c r="C12" i="12"/>
  <c r="J12" i="12" s="1"/>
  <c r="E9" i="8" s="1"/>
  <c r="C12" i="14"/>
  <c r="J12" i="14" s="1"/>
  <c r="G9" i="8" s="1"/>
  <c r="C12" i="3"/>
  <c r="J12" i="3" s="1"/>
  <c r="D9" i="8" s="1"/>
  <c r="C39" i="14"/>
  <c r="J39" i="14" s="1"/>
  <c r="G36" i="8" s="1"/>
  <c r="C39" i="13"/>
  <c r="J39" i="13" s="1"/>
  <c r="F36" i="8" s="1"/>
  <c r="C39" i="15"/>
  <c r="J39" i="15" s="1"/>
  <c r="H36" i="8" s="1"/>
  <c r="C39" i="12"/>
  <c r="J39" i="12" s="1"/>
  <c r="E36" i="8" s="1"/>
  <c r="C39" i="3"/>
  <c r="J39" i="3" s="1"/>
  <c r="D36" i="8" s="1"/>
  <c r="C31" i="14"/>
  <c r="J31" i="14" s="1"/>
  <c r="G28" i="8" s="1"/>
  <c r="C31" i="13"/>
  <c r="J31" i="13" s="1"/>
  <c r="F28" i="8" s="1"/>
  <c r="C31" i="15"/>
  <c r="J31" i="15" s="1"/>
  <c r="H28" i="8" s="1"/>
  <c r="C31" i="12"/>
  <c r="J31" i="12" s="1"/>
  <c r="E28" i="8" s="1"/>
  <c r="C31" i="3"/>
  <c r="J31" i="3" s="1"/>
  <c r="D28" i="8" s="1"/>
</calcChain>
</file>

<file path=xl/sharedStrings.xml><?xml version="1.0" encoding="utf-8"?>
<sst xmlns="http://schemas.openxmlformats.org/spreadsheetml/2006/main" count="899" uniqueCount="631">
  <si>
    <t>No Impact</t>
  </si>
  <si>
    <t>Not At All Confident</t>
  </si>
  <si>
    <t>Not At All Responsible</t>
  </si>
  <si>
    <t>Low Impact</t>
  </si>
  <si>
    <t>Slightly Confident</t>
  </si>
  <si>
    <t>Slightly Responsible</t>
  </si>
  <si>
    <t>Moderate Impact</t>
  </si>
  <si>
    <t>Somewhat Confident</t>
  </si>
  <si>
    <t>Somewhat Responsible</t>
  </si>
  <si>
    <t>High Impact</t>
  </si>
  <si>
    <t>Fairly Confident</t>
  </si>
  <si>
    <t>Fairly Responsible</t>
  </si>
  <si>
    <t>Very High Impact</t>
  </si>
  <si>
    <t>Completely Confident</t>
  </si>
  <si>
    <t>Completely Responsible</t>
  </si>
  <si>
    <t>Impact Options</t>
  </si>
  <si>
    <t>Resource Options</t>
  </si>
  <si>
    <t>Responsibility Options</t>
  </si>
  <si>
    <t>Connections Options</t>
  </si>
  <si>
    <t>Population Size Input Table</t>
  </si>
  <si>
    <t>Health Equity Considerations</t>
  </si>
  <si>
    <t>Percentage</t>
  </si>
  <si>
    <t>Number</t>
  </si>
  <si>
    <t>Socioeconomic Status</t>
  </si>
  <si>
    <t>Below 150% Poverty</t>
  </si>
  <si>
    <t>Unemployed</t>
  </si>
  <si>
    <t>Housing Cost Burden</t>
  </si>
  <si>
    <t>No High School Diploma</t>
  </si>
  <si>
    <t>Household Characteristics</t>
  </si>
  <si>
    <t>65 &amp; Older</t>
  </si>
  <si>
    <t>17 &amp; Younger</t>
  </si>
  <si>
    <t>Civilian with a disability</t>
  </si>
  <si>
    <t>Single parent households</t>
  </si>
  <si>
    <t>Rural Residents</t>
  </si>
  <si>
    <t>Housing Type and Transportation</t>
  </si>
  <si>
    <t>Multi-unit Structure</t>
  </si>
  <si>
    <t>Mobile Homes</t>
  </si>
  <si>
    <t>Crowding</t>
  </si>
  <si>
    <t>No Vehicle</t>
  </si>
  <si>
    <t>Group Quarters</t>
  </si>
  <si>
    <t>Racial &amp; Ethnic Minority Status</t>
  </si>
  <si>
    <t>Black or African American</t>
  </si>
  <si>
    <t>Hispanic or Latino (of any race)</t>
  </si>
  <si>
    <t>Asian</t>
  </si>
  <si>
    <t>American Indian or Alaska Native</t>
  </si>
  <si>
    <t>Native Hawaiian or Pacific Islander</t>
  </si>
  <si>
    <t>Two or More Races</t>
  </si>
  <si>
    <t>Other Races</t>
  </si>
  <si>
    <t>Health Characteristics</t>
  </si>
  <si>
    <t>Frequent Physical Distress</t>
  </si>
  <si>
    <t>Frequent Mental Distress</t>
  </si>
  <si>
    <t>Adults with Diabetes</t>
  </si>
  <si>
    <t>Persons living with HIV</t>
  </si>
  <si>
    <t>Food Insecure</t>
  </si>
  <si>
    <t>Limited Access to Healthy Food</t>
  </si>
  <si>
    <t>Drug Overdose Deaths</t>
  </si>
  <si>
    <t>Insufficient Sleep</t>
  </si>
  <si>
    <t>Uninsured Adults</t>
  </si>
  <si>
    <t>Uninsured Children</t>
  </si>
  <si>
    <t>Suicide Deaths</t>
  </si>
  <si>
    <t>Firearm Deaths</t>
  </si>
  <si>
    <t>COVID-19 age-adjusted mortality</t>
  </si>
  <si>
    <t>Life expectancy</t>
  </si>
  <si>
    <t>Premature age-adjusted mortality</t>
  </si>
  <si>
    <t>Child mortality</t>
  </si>
  <si>
    <t>Infant mortality</t>
  </si>
  <si>
    <t>Frequent physical distress</t>
  </si>
  <si>
    <t>Frequent mental distress</t>
  </si>
  <si>
    <t>Diabetes prevalence</t>
  </si>
  <si>
    <t>HIV prevalence</t>
  </si>
  <si>
    <t>Food insecurity</t>
  </si>
  <si>
    <t>Limited access to healthy foods</t>
  </si>
  <si>
    <t>Drug overdose deaths</t>
  </si>
  <si>
    <t>Motor vehicle crash deaths</t>
  </si>
  <si>
    <t>Insufficient sleep</t>
  </si>
  <si>
    <t>Uninsured adults</t>
  </si>
  <si>
    <t>Uninsured children</t>
  </si>
  <si>
    <t>Other primary care providers</t>
  </si>
  <si>
    <t>High school graduation</t>
  </si>
  <si>
    <t>Disconnected youth</t>
  </si>
  <si>
    <t>Reading scores</t>
  </si>
  <si>
    <t>Math scores</t>
  </si>
  <si>
    <t>School segregation</t>
  </si>
  <si>
    <t>School funding adequacy</t>
  </si>
  <si>
    <t>Gender pay gap</t>
  </si>
  <si>
    <t>Median household income</t>
  </si>
  <si>
    <t>Children eligible for free or reduced price lunch</t>
  </si>
  <si>
    <t>Residential segregation - Black/white</t>
  </si>
  <si>
    <t>Residential segregation - non-white/white</t>
  </si>
  <si>
    <t>Childcare cost burden</t>
  </si>
  <si>
    <t>Childcare centers</t>
  </si>
  <si>
    <t>Homicides</t>
  </si>
  <si>
    <t>Suicides</t>
  </si>
  <si>
    <t>Firearm fatalities</t>
  </si>
  <si>
    <t>Juvenile arrests</t>
  </si>
  <si>
    <t>Traffic volume</t>
  </si>
  <si>
    <t>Homeownership</t>
  </si>
  <si>
    <t>Severe housing cost burden</t>
  </si>
  <si>
    <t>Broadband access</t>
  </si>
  <si>
    <t>Population</t>
  </si>
  <si>
    <t>% below 18 years of age</t>
  </si>
  <si>
    <t>% 65 and older</t>
  </si>
  <si>
    <t>% non-Hispanic Black</t>
  </si>
  <si>
    <t>% American Indian &amp; Alaska Native</t>
  </si>
  <si>
    <t>% Asian</t>
  </si>
  <si>
    <t>% Native Hawaiian/Other Pacific Islander</t>
  </si>
  <si>
    <t>% Hispanic</t>
  </si>
  <si>
    <t>% non-Hispanic white</t>
  </si>
  <si>
    <t>% not proficient in English</t>
  </si>
  <si>
    <t>% female</t>
  </si>
  <si>
    <t>% rural</t>
  </si>
  <si>
    <t>ST</t>
  </si>
  <si>
    <t>STATE</t>
  </si>
  <si>
    <t>ST_ABBR</t>
  </si>
  <si>
    <t>STCNTY</t>
  </si>
  <si>
    <t>COUNTY</t>
  </si>
  <si>
    <t>FIPS</t>
  </si>
  <si>
    <t>LOCATION</t>
  </si>
  <si>
    <t>AREA_SQMI</t>
  </si>
  <si>
    <t>E_TOTPOP</t>
  </si>
  <si>
    <t>M_TOTPOP</t>
  </si>
  <si>
    <t>E_HU</t>
  </si>
  <si>
    <t>M_HU</t>
  </si>
  <si>
    <t>E_HH</t>
  </si>
  <si>
    <t>M_HH</t>
  </si>
  <si>
    <t>E_POV150</t>
  </si>
  <si>
    <t>M_POV150</t>
  </si>
  <si>
    <t>E_UNEMP</t>
  </si>
  <si>
    <t>M_UNEMP</t>
  </si>
  <si>
    <t>E_HBURD</t>
  </si>
  <si>
    <t>M_HBURD</t>
  </si>
  <si>
    <t>E_NOHSDP</t>
  </si>
  <si>
    <t>M_NOHSDP</t>
  </si>
  <si>
    <t>E_UNINSUR</t>
  </si>
  <si>
    <t>M_UNINSUR</t>
  </si>
  <si>
    <t>E_AGE65</t>
  </si>
  <si>
    <t>M_AGE65</t>
  </si>
  <si>
    <t>E_AGE17</t>
  </si>
  <si>
    <t>M_AGE17</t>
  </si>
  <si>
    <t>E_DISABL</t>
  </si>
  <si>
    <t>M_DISABL</t>
  </si>
  <si>
    <t>E_SNGPNT</t>
  </si>
  <si>
    <t>M_SNGPNT</t>
  </si>
  <si>
    <t>E_LIMENG</t>
  </si>
  <si>
    <t>M_LIMENG</t>
  </si>
  <si>
    <t>E_MINRTY</t>
  </si>
  <si>
    <t>M_MINRTY</t>
  </si>
  <si>
    <t>E_MUNIT</t>
  </si>
  <si>
    <t>M_MUNIT</t>
  </si>
  <si>
    <t>E_MOBILE</t>
  </si>
  <si>
    <t>M_MOBILE</t>
  </si>
  <si>
    <t>E_CROWD</t>
  </si>
  <si>
    <t>M_CROWD</t>
  </si>
  <si>
    <t>E_NOVEH</t>
  </si>
  <si>
    <t>M_NOVEH</t>
  </si>
  <si>
    <t>E_GROUPQ</t>
  </si>
  <si>
    <t>M_GROUPQ</t>
  </si>
  <si>
    <t>EP_POV150</t>
  </si>
  <si>
    <t>MP_POV150</t>
  </si>
  <si>
    <t>EP_UNEMP</t>
  </si>
  <si>
    <t>MP_UNEMP</t>
  </si>
  <si>
    <t>EP_HBURD</t>
  </si>
  <si>
    <t>MP_HBURD</t>
  </si>
  <si>
    <t>EP_NOHSDP</t>
  </si>
  <si>
    <t>MP_NOHSDP</t>
  </si>
  <si>
    <t>EP_UNINSUR</t>
  </si>
  <si>
    <t>MP_UNINSUR</t>
  </si>
  <si>
    <t>EP_AGE65</t>
  </si>
  <si>
    <t>MP_AGE65</t>
  </si>
  <si>
    <t>EP_AGE17</t>
  </si>
  <si>
    <t>MP_AGE17</t>
  </si>
  <si>
    <t>EP_DISABL</t>
  </si>
  <si>
    <t>MP_DISABL</t>
  </si>
  <si>
    <t>EP_SNGPNT</t>
  </si>
  <si>
    <t>MP_SNGPNT</t>
  </si>
  <si>
    <t>EP_LIMENG</t>
  </si>
  <si>
    <t>MP_LIMENG</t>
  </si>
  <si>
    <t>EP_MINRTY</t>
  </si>
  <si>
    <t>MP_MINRTY</t>
  </si>
  <si>
    <t>EP_MUNIT</t>
  </si>
  <si>
    <t>MP_MUNIT</t>
  </si>
  <si>
    <t>EP_MOBILE</t>
  </si>
  <si>
    <t>MP_MOBILE</t>
  </si>
  <si>
    <t>EP_CROWD</t>
  </si>
  <si>
    <t>MP_CROWD</t>
  </si>
  <si>
    <t>EP_NOVEH</t>
  </si>
  <si>
    <t>MP_NOVEH</t>
  </si>
  <si>
    <t>EP_GROUPQ</t>
  </si>
  <si>
    <t>MP_GROUPQ</t>
  </si>
  <si>
    <t>EPL_POV150</t>
  </si>
  <si>
    <t>EPL_UNEMP</t>
  </si>
  <si>
    <t>EPL_HBURD</t>
  </si>
  <si>
    <t>EPL_NOHSDP</t>
  </si>
  <si>
    <t>EPL_UNINSUR</t>
  </si>
  <si>
    <t>SPL_THEME1</t>
  </si>
  <si>
    <t>RPL_THEME1</t>
  </si>
  <si>
    <t>EPL_AGE65</t>
  </si>
  <si>
    <t>EPL_AGE17</t>
  </si>
  <si>
    <t>EPL_DISABL</t>
  </si>
  <si>
    <t>EPL_SNGPNT</t>
  </si>
  <si>
    <t>EPL_LIMENG</t>
  </si>
  <si>
    <t>SPL_THEME2</t>
  </si>
  <si>
    <t>RPL_THEME2</t>
  </si>
  <si>
    <t>EPL_MINRTY</t>
  </si>
  <si>
    <t>SPL_THEME3</t>
  </si>
  <si>
    <t>RPL_THEME3</t>
  </si>
  <si>
    <t>EPL_MUNIT</t>
  </si>
  <si>
    <t>EPL_MOBILE</t>
  </si>
  <si>
    <t>EPL_CROWD</t>
  </si>
  <si>
    <t>EPL_NOVEH</t>
  </si>
  <si>
    <t>EPL_GROUPQ</t>
  </si>
  <si>
    <t>SPL_THEME4</t>
  </si>
  <si>
    <t>RPL_THEME4</t>
  </si>
  <si>
    <t>SPL_THEMES</t>
  </si>
  <si>
    <t>RPL_THEMES</t>
  </si>
  <si>
    <t>F_POV150</t>
  </si>
  <si>
    <t>F_UNEMP</t>
  </si>
  <si>
    <t>F_HBURD</t>
  </si>
  <si>
    <t>F_NOHSDP</t>
  </si>
  <si>
    <t>F_UNINSUR</t>
  </si>
  <si>
    <t>F_THEME1</t>
  </si>
  <si>
    <t>F_AGE65</t>
  </si>
  <si>
    <t>F_AGE17</t>
  </si>
  <si>
    <t>F_DISABL</t>
  </si>
  <si>
    <t>F_SNGPNT</t>
  </si>
  <si>
    <t>F_LIMENG</t>
  </si>
  <si>
    <t>F_THEME2</t>
  </si>
  <si>
    <t>F_MINRTY</t>
  </si>
  <si>
    <t>F_THEME3</t>
  </si>
  <si>
    <t>F_MUNIT</t>
  </si>
  <si>
    <t>F_MOBILE</t>
  </si>
  <si>
    <t>F_CROWD</t>
  </si>
  <si>
    <t>F_NOVEH</t>
  </si>
  <si>
    <t>F_GROUPQ</t>
  </si>
  <si>
    <t>F_THEME4</t>
  </si>
  <si>
    <t>F_TOTAL</t>
  </si>
  <si>
    <t>E_DAYPOP</t>
  </si>
  <si>
    <t>E_NOINT</t>
  </si>
  <si>
    <t>M_NOINT</t>
  </si>
  <si>
    <t>E_AFAM</t>
  </si>
  <si>
    <t>M_AFAM</t>
  </si>
  <si>
    <t>E_HISP</t>
  </si>
  <si>
    <t>M_HISP</t>
  </si>
  <si>
    <t>E_ASIAN</t>
  </si>
  <si>
    <t>M_ASIAN</t>
  </si>
  <si>
    <t>E_AIAN</t>
  </si>
  <si>
    <t>M_AIAN</t>
  </si>
  <si>
    <t>E_NHPI</t>
  </si>
  <si>
    <t>M_NHPI</t>
  </si>
  <si>
    <t>E_TWOMORE</t>
  </si>
  <si>
    <t>M_TWOMORE</t>
  </si>
  <si>
    <t>E_OTHERRACE</t>
  </si>
  <si>
    <t>M_OTHERRACE</t>
  </si>
  <si>
    <t>EP_NOINT</t>
  </si>
  <si>
    <t>MP_NOINT</t>
  </si>
  <si>
    <t>EP_AFAM</t>
  </si>
  <si>
    <t>MP_AFAM</t>
  </si>
  <si>
    <t>EP_HISP</t>
  </si>
  <si>
    <t>MP_HISP</t>
  </si>
  <si>
    <t>EP_ASIAN</t>
  </si>
  <si>
    <t>MP_ASIAN</t>
  </si>
  <si>
    <t>EP_AIAN</t>
  </si>
  <si>
    <t>MP_AIAN</t>
  </si>
  <si>
    <t>EP_NHPI</t>
  </si>
  <si>
    <t>MP_NHPI</t>
  </si>
  <si>
    <t>EP_TWOMORE</t>
  </si>
  <si>
    <t>MP_TWOMORE</t>
  </si>
  <si>
    <t>EP_OTHERRACE</t>
  </si>
  <si>
    <t>MP_OTHERRACE</t>
  </si>
  <si>
    <t># deaths due to COVID-19 during 2020</t>
  </si>
  <si>
    <t>COVID-19 death rate</t>
  </si>
  <si>
    <t>Life Expectancy</t>
  </si>
  <si>
    <t>95% CI - Low</t>
  </si>
  <si>
    <t>95% CI - High</t>
  </si>
  <si>
    <t>Life Expectancy (AIAN)</t>
  </si>
  <si>
    <t>Life Expectancy (AIAN) 95% CI - Low</t>
  </si>
  <si>
    <t>Life Expectancy (AIAN) 95% CI - High</t>
  </si>
  <si>
    <t>Life Expectancy (Asian)</t>
  </si>
  <si>
    <t>Life Expectancy (Asian) 95% CI - Low</t>
  </si>
  <si>
    <t>Life Expectancy (Asian) 95% CI - High</t>
  </si>
  <si>
    <t>Life Expectancy (Black)</t>
  </si>
  <si>
    <t>Life Expectancy (Black) 95% CI - Low</t>
  </si>
  <si>
    <t>Life Expectancy (Black) 95% CI - High</t>
  </si>
  <si>
    <t>Life Expectancy (Hispanic)</t>
  </si>
  <si>
    <t>Life Expectancy (Hispanic) 95% CI - Low</t>
  </si>
  <si>
    <t>Life Expectancy (Hispanic) 95% CI - High</t>
  </si>
  <si>
    <t>Life Expectancy (white)</t>
  </si>
  <si>
    <t>Life Expectancy (white) 95% CI - Low</t>
  </si>
  <si>
    <t>Life Expectancy (white) 95% CI - High</t>
  </si>
  <si>
    <t># Deaths</t>
  </si>
  <si>
    <t>Age-adjusted Death Rate</t>
  </si>
  <si>
    <t>Age-Adjusted Mortality (AIAN)</t>
  </si>
  <si>
    <t>Age-Adjusted Mortality (AIAN) 95% CI - Low</t>
  </si>
  <si>
    <t>Age-Adjusted Mortality (AIAN) 95% CI - High</t>
  </si>
  <si>
    <t>Age-Adjusted Mortality (Asian)</t>
  </si>
  <si>
    <t>Age-Adjusted Mortality (Asian) 95% CI - Low</t>
  </si>
  <si>
    <t>Age-Adjusted Mortality (Asian) 95% CI - High</t>
  </si>
  <si>
    <t>Age-Adjusted Mortality (Black)</t>
  </si>
  <si>
    <t>Age-Adjusted Mortality (Black) 95% CI - Low</t>
  </si>
  <si>
    <t>Age-Adjusted Mortality (Black) 95% CI - High</t>
  </si>
  <si>
    <t>Age-Adjusted Mortality (Hispanic)</t>
  </si>
  <si>
    <t>Age-Adjusted Mortality (Hispanic) 95% CI - Low</t>
  </si>
  <si>
    <t>Age-Adjusted Mortality (Hispanic) 95% CI - High</t>
  </si>
  <si>
    <t>Age-Adjusted Mortality (white)</t>
  </si>
  <si>
    <t>Age-Adjusted Mortality (white) 95% CI - Low</t>
  </si>
  <si>
    <t>Age-Adjusted Mortality (white) 95% CI - High</t>
  </si>
  <si>
    <t>Child Mortality Rate</t>
  </si>
  <si>
    <t>Child Mortality Rate (AIAN)</t>
  </si>
  <si>
    <t>Child Mortality Rate (AIAN) 95% CI - Low</t>
  </si>
  <si>
    <t>Child Mortality Rate (AIAN) 95% CI - High</t>
  </si>
  <si>
    <t>Child Mortality Rate (Asian)</t>
  </si>
  <si>
    <t>Child Mortality Rate (Asian) 95% CI - Low</t>
  </si>
  <si>
    <t>Child Mortality Rate (Asian) 95% CI - High</t>
  </si>
  <si>
    <t>Child Mortality Rate (Black)</t>
  </si>
  <si>
    <t>Child Mortality Rate (Black) 95% CI - Low</t>
  </si>
  <si>
    <t>Child Mortality Rate (Black) 95% CI - High</t>
  </si>
  <si>
    <t>Child Mortality Rate (Hispanic)</t>
  </si>
  <si>
    <t>Child Mortality Rate (Hispanic) 95% CI - Low</t>
  </si>
  <si>
    <t>Child Mortality Rate (Hispanic) 95% CI - High</t>
  </si>
  <si>
    <t>Child Mortality Rate (white)</t>
  </si>
  <si>
    <t>Child Mortality Rate (white) 95% CI - Low</t>
  </si>
  <si>
    <t>Child Mortality Rate (white) 95% CI - High</t>
  </si>
  <si>
    <t>Infant Mortality Rate</t>
  </si>
  <si>
    <t>Infant Mortality Rate (AIAN)</t>
  </si>
  <si>
    <t>Infant Mortality Rate (AIAN) 95% CI - Low</t>
  </si>
  <si>
    <t>Infant Mortality Rate (AIAN) 95% CI - High</t>
  </si>
  <si>
    <t>Infant Mortality Rate (Asian)</t>
  </si>
  <si>
    <t>Infant Mortality Rate (Asian) 95% CI - Low</t>
  </si>
  <si>
    <t>Infant Mortality Rate (Asian) 95% CI - High</t>
  </si>
  <si>
    <t>Infant Mortality Rate (Black)</t>
  </si>
  <si>
    <t>Infant Mortality Rate (Black) 95% CI - Low</t>
  </si>
  <si>
    <t>Infant Mortality Rate (Black) 95% CI - High</t>
  </si>
  <si>
    <t>Infant Mortality Rate (Hispanic)</t>
  </si>
  <si>
    <t>Infant Mortality Rate (Hispanic) 95% CI - Low</t>
  </si>
  <si>
    <t>Infant Mortality Rate (Hispanic) 95% CI - High</t>
  </si>
  <si>
    <t>Infant Mortality Rate (white)</t>
  </si>
  <si>
    <t>Infant Mortality Rate (white) 95% CI - Low</t>
  </si>
  <si>
    <t>Infant Mortality Rate (white) 95% CI - High</t>
  </si>
  <si>
    <t># Frequent Physical Distress</t>
  </si>
  <si>
    <t>% Frequent Physical Distress</t>
  </si>
  <si>
    <t># Frequent Mental Distress</t>
  </si>
  <si>
    <t>% Frequent Mental Distress</t>
  </si>
  <si>
    <t># Adults with Diabetes</t>
  </si>
  <si>
    <t>% Adults with Diabetes</t>
  </si>
  <si>
    <t># HIV Cases</t>
  </si>
  <si>
    <t>HIV Prevalence Rate</t>
  </si>
  <si>
    <t># Food Insecure</t>
  </si>
  <si>
    <t>% Food Insecure</t>
  </si>
  <si>
    <t># Limited Access</t>
  </si>
  <si>
    <t>% Limited Access to Healthy Foods</t>
  </si>
  <si>
    <t># Drug Overdose Deaths</t>
  </si>
  <si>
    <t>Drug Overdose Mortality Rate</t>
  </si>
  <si>
    <t>Drug Overdose Mortality Rate (AIAN)</t>
  </si>
  <si>
    <t>Drug Overdose Mortality Rate (AIAN) 95% CI - Low</t>
  </si>
  <si>
    <t>Drug Overdose Mortality Rate (AIAN) 95% CI - High</t>
  </si>
  <si>
    <t>Drug Overdose Mortality Rate (Asian)</t>
  </si>
  <si>
    <t>Drug Overdose Mortality Rate (Asian) 95% CI - Low</t>
  </si>
  <si>
    <t>Drug Overdose Mortality Rate (Asian) 95% CI - High</t>
  </si>
  <si>
    <t>Drug Overdose Mortality Rate (Black)</t>
  </si>
  <si>
    <t>Drug Overdose Mortality Rate (Black) 95% CI - Low</t>
  </si>
  <si>
    <t>Drug Overdose Mortality Rate (Black) 95% CI - High</t>
  </si>
  <si>
    <t>Drug Overdose Mortality Rate (Hispanic)</t>
  </si>
  <si>
    <t>Drug Overdose Mortality Rate (Hispanic) 95% CI - Low</t>
  </si>
  <si>
    <t>Drug Overdose Mortality Rate (Hispanic) 95% CI - High</t>
  </si>
  <si>
    <t>Drug Overdose Mortality Rate (white)</t>
  </si>
  <si>
    <t>Drug Overdose Mortality Rate (white) 95% CI - Low</t>
  </si>
  <si>
    <t>Drug Overdose Mortality Rate (white) 95% CI - High</t>
  </si>
  <si>
    <t># Motor Vehicle Deaths</t>
  </si>
  <si>
    <t>Motor Vehicle Mortality Rate</t>
  </si>
  <si>
    <t>MV Mortality Rate (AIAN)</t>
  </si>
  <si>
    <t>MV Mortality Rate (AIAN) 95% CI - Low</t>
  </si>
  <si>
    <t>MV Mortality Rate (AIAN) 95% CI - High</t>
  </si>
  <si>
    <t>MV Mortality Rate (Asian)</t>
  </si>
  <si>
    <t>MV Mortality Rate (Asian) 95% CI - Low</t>
  </si>
  <si>
    <t>MV Mortality Rate (Asian) 95% CI - High</t>
  </si>
  <si>
    <t>MV Mortality Rate (Black)</t>
  </si>
  <si>
    <t>MV Mortality Rate (Black) 95% CI - Low</t>
  </si>
  <si>
    <t>MV Mortality Rate (Black) 95% CI - High</t>
  </si>
  <si>
    <t>MV Mortality Rate (Hispanic)</t>
  </si>
  <si>
    <t>MV Mortality Rate (Hispanic) 95% CI - Low</t>
  </si>
  <si>
    <t>MV Mortality Rate (Hispanic) 95% CI - High</t>
  </si>
  <si>
    <t>MV Mortality Rate (white)</t>
  </si>
  <si>
    <t>MV Mortality Rate (white) 95% CI - Low</t>
  </si>
  <si>
    <t>MV Mortality Rate (white) 95% CI - High</t>
  </si>
  <si>
    <t># Insuficient Sleep</t>
  </si>
  <si>
    <t>% Insufficient Sleep</t>
  </si>
  <si>
    <t># Uninsured</t>
  </si>
  <si>
    <t>% Uninsured</t>
  </si>
  <si>
    <t>Other Primary Care Provider Rate</t>
  </si>
  <si>
    <t>Other Primary Care Provider Ratio</t>
  </si>
  <si>
    <t>Cohort Size</t>
  </si>
  <si>
    <t>High School Graduation Rate</t>
  </si>
  <si>
    <t>% Disconnected Youth</t>
  </si>
  <si>
    <t>Average Grade Performance</t>
  </si>
  <si>
    <t>Average Grade Performance (Asian)</t>
  </si>
  <si>
    <t>Average Grade Performance (Black)</t>
  </si>
  <si>
    <t>Average Grade Performance (Hispanic)</t>
  </si>
  <si>
    <t>Average Grade Performance (white)</t>
  </si>
  <si>
    <t>Segregation index</t>
  </si>
  <si>
    <t>Spending per-pupil</t>
  </si>
  <si>
    <t>School funding</t>
  </si>
  <si>
    <t>Women's Median Earnings</t>
  </si>
  <si>
    <t>Men's Median Earnings</t>
  </si>
  <si>
    <t>Gender Pay Gap</t>
  </si>
  <si>
    <t>Median Household Income</t>
  </si>
  <si>
    <t>Household Income (AIAN)</t>
  </si>
  <si>
    <t>Household Income (AIAN) 95% CI - Low</t>
  </si>
  <si>
    <t>Household Income (AIAN) 95% CI - High</t>
  </si>
  <si>
    <t>Household Income (Asian)</t>
  </si>
  <si>
    <t>Household Income (Asian) 95% CI - Low</t>
  </si>
  <si>
    <t>Household Income (Asian) 95% CI - High</t>
  </si>
  <si>
    <t>Household Income (Black)</t>
  </si>
  <si>
    <t>Household Income (Black) 95% CI - Low</t>
  </si>
  <si>
    <t>Household Income (Black) 95% CI - High</t>
  </si>
  <si>
    <t>Household Income (Hispanic)</t>
  </si>
  <si>
    <t>Household Income (Hispanic) 95% CI - Low</t>
  </si>
  <si>
    <t>Household Income (Hispanic) 95% CI - High</t>
  </si>
  <si>
    <t>Household Income (white)</t>
  </si>
  <si>
    <t>Household Income (white) 95% CI - Low</t>
  </si>
  <si>
    <t>Household Income (white) 95% CI - High</t>
  </si>
  <si>
    <t>% Enrolled in Free or Reduced Lunch</t>
  </si>
  <si>
    <t>Segregation Index</t>
  </si>
  <si>
    <t>% household income required for childcare expenses</t>
  </si>
  <si>
    <t># childcare centers</t>
  </si>
  <si>
    <t>County Value</t>
  </si>
  <si>
    <t>Homicide Rate</t>
  </si>
  <si>
    <t>Homicide Rate (AIAN)</t>
  </si>
  <si>
    <t>Homicide Rate (AIAN) 95% CI - Low</t>
  </si>
  <si>
    <t>Homicide Rate (AIAN) 95% CI - High</t>
  </si>
  <si>
    <t>Homicide Rate (Asian)</t>
  </si>
  <si>
    <t>Homicide Rate (Asian) 95% CI - Low</t>
  </si>
  <si>
    <t>Homicide Rate (Asian) 95% CI - High</t>
  </si>
  <si>
    <t>Homicide Rate (Black)</t>
  </si>
  <si>
    <t>Homicide Rate (Black) 95% CI - Low</t>
  </si>
  <si>
    <t>Homicide Rate (Black) 95% CI - High</t>
  </si>
  <si>
    <t>Homicide Rate (Hispanic)</t>
  </si>
  <si>
    <t>Homicide Rate (Hispanic) 95% CI - Low</t>
  </si>
  <si>
    <t>Homicide Rate (Hispanic) 95% CI - High</t>
  </si>
  <si>
    <t>Homicide Rate (white)</t>
  </si>
  <si>
    <t>Homicide Rate (white) 95% CI - Low</t>
  </si>
  <si>
    <t>Homicide Rate (white) 95% CI - High</t>
  </si>
  <si>
    <t>Suicide Rate (Age-Adjusted)</t>
  </si>
  <si>
    <t>Crude Rate</t>
  </si>
  <si>
    <t>Suicide Rate (AIAN)</t>
  </si>
  <si>
    <t>Suicide Rate (AIAN) 95% CI - Low</t>
  </si>
  <si>
    <t>Suicide Rate (AIAN) 95% CI - High</t>
  </si>
  <si>
    <t>Suicide Rate (Asian)</t>
  </si>
  <si>
    <t>Suicide Rate (Asian) 95% CI - Low</t>
  </si>
  <si>
    <t>Suicide Rate (Asian) 95% CI - High</t>
  </si>
  <si>
    <t>Suicide Rate (Black)</t>
  </si>
  <si>
    <t>Suicide Rate (Black) 95% CI - Low</t>
  </si>
  <si>
    <t>Suicide Rate (Black) 95% CI - High</t>
  </si>
  <si>
    <t>Suicide Rate (Hispanic)</t>
  </si>
  <si>
    <t>Suicide Rate (Hispanic) 95% CI - Low</t>
  </si>
  <si>
    <t>Suicide Rate (Hispanic) 95% CI - High</t>
  </si>
  <si>
    <t>Suicide Rate (white)</t>
  </si>
  <si>
    <t>Suicide Rate (white) 95% CI - Low</t>
  </si>
  <si>
    <t>Suicide Rate (white) 95% CI - High</t>
  </si>
  <si>
    <t># Firearm Fatalities</t>
  </si>
  <si>
    <t>Firearm Fatalities Rate</t>
  </si>
  <si>
    <t>Firearm Fatalities Rate (AIAN)</t>
  </si>
  <si>
    <t>Firearm Fatalities Rate (AIAN) 95% CI - Low</t>
  </si>
  <si>
    <t>Firearm Fatalities Rate (AIAN) 95% CI - High</t>
  </si>
  <si>
    <t>Firearm Fatalities Rate (Asian)</t>
  </si>
  <si>
    <t>Firearm Fatalities Rate (Asian) 95% CI - Low</t>
  </si>
  <si>
    <t>Firearm Fatalities Rate (Asian) 95% CI - High</t>
  </si>
  <si>
    <t>Firearm Fatalities Rate (Black)</t>
  </si>
  <si>
    <t>Firearm Fatalities Rate (Black) 95% CI - Low</t>
  </si>
  <si>
    <t>Firearm Fatalities Rate (Black) 95% CI - High</t>
  </si>
  <si>
    <t>Firearm Fatalities Rate (Hispanic)</t>
  </si>
  <si>
    <t>Firearm Fatalities Rate (Hispanic) 95% CI - Low</t>
  </si>
  <si>
    <t>Firearm Fatalities Rate (Hispanic) 95% CI - High</t>
  </si>
  <si>
    <t>Firearm Fatalities Rate (white)</t>
  </si>
  <si>
    <t>Firearm Fatalities Rate (white) 95% CI - Low</t>
  </si>
  <si>
    <t>Firearm Fatalities Rate (white) 95% CI - High</t>
  </si>
  <si>
    <t>Non-Petitioned Cases</t>
  </si>
  <si>
    <t>Petitioned Cases</t>
  </si>
  <si>
    <t>Denominator</t>
  </si>
  <si>
    <t>Juvenile Arrest Rate</t>
  </si>
  <si>
    <t>Traffic Volume</t>
  </si>
  <si>
    <t># Homeowners</t>
  </si>
  <si>
    <t>% Homeowners</t>
  </si>
  <si>
    <t># Households with Severe Cost Burden</t>
  </si>
  <si>
    <t>% Severe Housing Cost Burden</t>
  </si>
  <si>
    <t>% Broadband Access</t>
  </si>
  <si>
    <t>Numerator</t>
  </si>
  <si>
    <t># Less than 18 Years of Age</t>
  </si>
  <si>
    <t>% Less Than 18 Years of Age</t>
  </si>
  <si>
    <t># 65 and Over</t>
  </si>
  <si>
    <t>% 65 and Over</t>
  </si>
  <si>
    <t># Black</t>
  </si>
  <si>
    <t>% Black</t>
  </si>
  <si>
    <t># American Indian &amp; Alaska Native</t>
  </si>
  <si>
    <t># Asian</t>
  </si>
  <si>
    <t># Native Hawaiian/Other Pacific Islander</t>
  </si>
  <si>
    <t># Hispanic</t>
  </si>
  <si>
    <t># Non-Hispanic white</t>
  </si>
  <si>
    <t>% Non-Hispanic white</t>
  </si>
  <si>
    <t># Not Proficient in English</t>
  </si>
  <si>
    <t>% Not Proficient in English</t>
  </si>
  <si>
    <t># rural residents</t>
  </si>
  <si>
    <t>Vermont</t>
  </si>
  <si>
    <t>VT</t>
  </si>
  <si>
    <t>Addison</t>
  </si>
  <si>
    <t>Addison County, Vermont</t>
  </si>
  <si>
    <t>1189:1</t>
  </si>
  <si>
    <t>Bennington</t>
  </si>
  <si>
    <t>Bennington County, Vermont</t>
  </si>
  <si>
    <t>736:1</t>
  </si>
  <si>
    <t>Caledonia</t>
  </si>
  <si>
    <t>Caledonia County, Vermont</t>
  </si>
  <si>
    <t>825:1</t>
  </si>
  <si>
    <t>Chittenden</t>
  </si>
  <si>
    <t>Chittenden County, Vermont</t>
  </si>
  <si>
    <t>642:1</t>
  </si>
  <si>
    <t>Essex</t>
  </si>
  <si>
    <t>Essex County, Vermont</t>
  </si>
  <si>
    <t>1531:1</t>
  </si>
  <si>
    <t>1-4</t>
  </si>
  <si>
    <t>Franklin</t>
  </si>
  <si>
    <t>Franklin County, Vermont</t>
  </si>
  <si>
    <t>857:1</t>
  </si>
  <si>
    <t>Grand Isle</t>
  </si>
  <si>
    <t>Grand Isle County, Vermont</t>
  </si>
  <si>
    <t>3585:1</t>
  </si>
  <si>
    <t>Lamoille</t>
  </si>
  <si>
    <t>Lamoille County, Vermont</t>
  </si>
  <si>
    <t>905:1</t>
  </si>
  <si>
    <t>Orange</t>
  </si>
  <si>
    <t>Orange County, Vermont</t>
  </si>
  <si>
    <t>994:1</t>
  </si>
  <si>
    <t>Orleans</t>
  </si>
  <si>
    <t>Orleans County, Vermont</t>
  </si>
  <si>
    <t>1582:1</t>
  </si>
  <si>
    <t>Rutland</t>
  </si>
  <si>
    <t>Rutland County, Vermont</t>
  </si>
  <si>
    <t>722:1</t>
  </si>
  <si>
    <t>Washington</t>
  </si>
  <si>
    <t>Washington County, Vermont</t>
  </si>
  <si>
    <t>748:1</t>
  </si>
  <si>
    <t>Windham</t>
  </si>
  <si>
    <t>Windham County, Vermont</t>
  </si>
  <si>
    <t>764:1</t>
  </si>
  <si>
    <t>Windsor</t>
  </si>
  <si>
    <t>Windsor County, Vermont</t>
  </si>
  <si>
    <t>647:1</t>
  </si>
  <si>
    <t>Equity-Centered Emergency Assessment Tool</t>
  </si>
  <si>
    <t>Hazard:</t>
  </si>
  <si>
    <t>Total Population of Selected Area:</t>
  </si>
  <si>
    <t>Equity Consideration</t>
  </si>
  <si>
    <t>Population Size of Equity Consideration  (as percent)</t>
  </si>
  <si>
    <t>Population Size of Equity Consideration (as number)</t>
  </si>
  <si>
    <t>Estimated Impact</t>
  </si>
  <si>
    <t>Mitigation</t>
  </si>
  <si>
    <t>Severity</t>
  </si>
  <si>
    <t>Relative Health Equity Risk Score</t>
  </si>
  <si>
    <t>Resources</t>
  </si>
  <si>
    <t>Responsibility</t>
  </si>
  <si>
    <t>Community Connections</t>
  </si>
  <si>
    <t>What impact would incoming patients from the identified groups have on your facility's ability to respond to the hazard?</t>
  </si>
  <si>
    <t xml:space="preserve">How confident are you that your organization has the resources to manage the estimated impact? </t>
  </si>
  <si>
    <t>How responsible is your organization to address the needs of the identified group before an emergency?</t>
  </si>
  <si>
    <t>How confident are you that your organization can connect these patients to the right community resources?</t>
  </si>
  <si>
    <t>Row Labels</t>
  </si>
  <si>
    <t>Grand Total</t>
  </si>
  <si>
    <t>Sum of E_TOTPOP</t>
  </si>
  <si>
    <t>Sum of E_POV150</t>
  </si>
  <si>
    <t>Sum of E_UNEMP</t>
  </si>
  <si>
    <t>Sum of E_HBURD</t>
  </si>
  <si>
    <t>Sum of E_NOHSDP</t>
  </si>
  <si>
    <t>Sum of E_AGE65</t>
  </si>
  <si>
    <t>Sum of E_AGE17</t>
  </si>
  <si>
    <t>Sum of E_DISABL</t>
  </si>
  <si>
    <t>Sum of E_SNGPNT</t>
  </si>
  <si>
    <t>Sum of E_LIMENG</t>
  </si>
  <si>
    <t>Sum of E_MUNIT</t>
  </si>
  <si>
    <t>Sum of E_MOBILE</t>
  </si>
  <si>
    <t>Sum of E_CROWD</t>
  </si>
  <si>
    <t>Sum of E_NOVEH</t>
  </si>
  <si>
    <t>Sum of E_GROUPQ</t>
  </si>
  <si>
    <t>Sum of E_AFAM</t>
  </si>
  <si>
    <t>Sum of E_HISP</t>
  </si>
  <si>
    <t>Sum of E_ASIAN</t>
  </si>
  <si>
    <t>Sum of E_AIAN</t>
  </si>
  <si>
    <t>Sum of E_NHPI</t>
  </si>
  <si>
    <t>Sum of E_TWOMORE</t>
  </si>
  <si>
    <t>Sum of E_OTHERRACE</t>
  </si>
  <si>
    <t>Sum of # Frequent Physical Distress</t>
  </si>
  <si>
    <t>Sum of # Frequent Mental Distress</t>
  </si>
  <si>
    <t>Sum of # HIV Cases</t>
  </si>
  <si>
    <t>Sum of # Food Insecure</t>
  </si>
  <si>
    <t>Sum of # Limited Access</t>
  </si>
  <si>
    <t>Sum of # Drug Overdose Deaths</t>
  </si>
  <si>
    <t>Sum of # Insuficient Sleep</t>
  </si>
  <si>
    <t>Sum of # Uninsured</t>
  </si>
  <si>
    <t>Sum of # Uninsured2</t>
  </si>
  <si>
    <t>Sum of # Deaths4</t>
  </si>
  <si>
    <t>Sum of # Firearm Fatalities</t>
  </si>
  <si>
    <t>Sum of Population</t>
  </si>
  <si>
    <t>Sum of # rural residents</t>
  </si>
  <si>
    <t>Limited English Proficiency</t>
  </si>
  <si>
    <t>Sum of # Adults with Diabetes</t>
  </si>
  <si>
    <t>Select Counties from the Filter</t>
  </si>
  <si>
    <t>Risk Assessment Input Table</t>
  </si>
  <si>
    <t>Hazard</t>
  </si>
  <si>
    <t>Relative Risk (as percentage) from HVA/THIRA/JRA Results</t>
  </si>
  <si>
    <t>Hazard 2</t>
  </si>
  <si>
    <t>Hazard 3</t>
  </si>
  <si>
    <t>Hazard 4</t>
  </si>
  <si>
    <t>Hazard 5</t>
  </si>
  <si>
    <t>Hazard 1</t>
  </si>
  <si>
    <t>Relative Risk from HVA:</t>
  </si>
  <si>
    <t>Summary Results Relative Risk</t>
  </si>
  <si>
    <t>Data Sources</t>
  </si>
  <si>
    <r>
      <t>Centers for Disease Control and Prevention/ Agency for Toxic Substances and Disease Registry/ Geospatial Research, Analysis, and Services Program. CDC/ATSDR Social Vulnerability Index 2020 Database Vermont. https://www.atsdr.cdc.gov/placeandhealth/svi/data_documentation_download.html. Accessed on</t>
    </r>
    <r>
      <rPr>
        <sz val="11"/>
        <color rgb="FFFF0000"/>
        <rFont val="Calibri"/>
        <family val="2"/>
        <scheme val="minor"/>
      </rPr>
      <t xml:space="preserve"> </t>
    </r>
    <r>
      <rPr>
        <sz val="11"/>
        <rFont val="Calibri"/>
        <family val="2"/>
        <scheme val="minor"/>
      </rPr>
      <t>5 January 2023.</t>
    </r>
  </si>
  <si>
    <t>University of Wisconsin Population Health Institute. County Health Rankings &amp; Roadmaps 2022 Database Vermont. https://www.countyhealthrankings.org/explore-health-rankings/rankings-data-documentation. Accessed on 12 February 2023.</t>
  </si>
  <si>
    <t>No Health Insurance</t>
  </si>
  <si>
    <t>Speak English "less than well"</t>
  </si>
  <si>
    <r>
      <rPr>
        <b/>
        <sz val="11"/>
        <color rgb="FFFF0000"/>
        <rFont val="Calibri"/>
        <family val="2"/>
        <scheme val="minor"/>
      </rPr>
      <t>Why Use This Tool:</t>
    </r>
    <r>
      <rPr>
        <sz val="11"/>
        <color theme="1"/>
        <rFont val="Calibri"/>
        <family val="2"/>
        <scheme val="minor"/>
      </rPr>
      <t xml:space="preserve">
Emergencies exacerbate existing health inequities. Therefore, intentionally and proactively centering equity into your emergency preparedness planning process can help to improve health outcomes for your patients and your organization’s bottom line. 
This tool is designed to be used by busy healthcare emergency preparedness personnel who have already completed a Hazard Vulnerability Analysis (HVA) for their organization.  
</t>
    </r>
    <r>
      <rPr>
        <b/>
        <sz val="11"/>
        <color rgb="FFFF0000"/>
        <rFont val="Calibri"/>
        <family val="2"/>
        <scheme val="minor"/>
      </rPr>
      <t xml:space="preserve">Tool Introduction: </t>
    </r>
    <r>
      <rPr>
        <sz val="11"/>
        <color theme="1"/>
        <rFont val="Calibri"/>
        <family val="2"/>
        <scheme val="minor"/>
      </rPr>
      <t xml:space="preserve">
This tool is designed to support a systematic approach to building equity considerations into healthcare emergency preparedness and planning efforts. 
This tool is intended to supplement existing emergency preparedness planning efforts, including the use of a traditional Hazard Vulnerability Analysis (HVA) or other risk assessment. It is not meant to supersede any other planning tools or preparedness work; rather it should be used as an additional support to existing resources. 
This tool utilizes publicly available data from both the Centers for Disease Control and Prevention (CDC) Social Vulnerability Index (SVI) and County Health Rankings &amp; Roadmaps (CHR&amp;R), a database created by the University of Wisconsin Population Health Institute with funding from the Robert Wood Johnson Foundation. 
It is important to note that while this tool identifies specific populations of people (including racial groups), belonging to these groups does not mean an individual is inherently at higher risk.  Rather, the historical structures and inequitable systems in place make certain groups of people more likely to experience negative health outcomes during an emergency. </t>
    </r>
  </si>
  <si>
    <r>
      <rPr>
        <b/>
        <sz val="11"/>
        <color rgb="FFFF0000"/>
        <rFont val="Calibri"/>
        <family val="2"/>
        <scheme val="minor"/>
      </rPr>
      <t xml:space="preserve">Instructions for Filling Out the Tool: </t>
    </r>
    <r>
      <rPr>
        <sz val="11"/>
        <color theme="1"/>
        <rFont val="Calibri"/>
        <family val="2"/>
        <scheme val="minor"/>
      </rPr>
      <t xml:space="preserve">
This tool consists of a Microsoft Excel Workbook with ten visible worksheets (tabs). These worksheets are labeled:
    -  Instructions 
    -  InputHazards
    -  InputCounties
    -  Hazard 1, Hazard 2, Hazard 3, Hazard 4, Hazard 5 
    -  Summary Results
    -  Data Bibliography
Work through the worksheet in order.  Start with the Input worksheets and then move to the Hazard worksheets. 
Data from worksheets will automatically populate the Summary Results page.
Input data into the yellow cells only. Changing the unshaded cells may create errors in the formulas.  
Do not add rows or columns to the tool unless the user can manipulate the Excel formulas.  </t>
    </r>
  </si>
  <si>
    <r>
      <rPr>
        <b/>
        <sz val="11"/>
        <color rgb="FFFF0000"/>
        <rFont val="Calibri"/>
        <family val="2"/>
        <scheme val="minor"/>
      </rPr>
      <t>InputHazard Tab</t>
    </r>
    <r>
      <rPr>
        <sz val="11"/>
        <color theme="1"/>
        <rFont val="Calibri"/>
        <family val="2"/>
        <scheme val="minor"/>
      </rPr>
      <t xml:space="preserve">
1.  Click on the “InputHazards” tab.
2.  Select 3-5 hazards from your risk assessment. 
3.  In Column A, replace the generic “Hazard” by typing in your selected hazard(s).  
4.  In Column B, input your relative risk for the corresponding hazard (this should be a percentage).  The relative risk is calculated in your risk assessment results.  
5.  These hazards and relative risk numbers will be carried automatically to the other worksheets in the tool.  
6.  If you choose fewer than 5 hazards, you will just ignore those lines and those Hazard sheets.
7.  Move to the next InputCounties tab.  </t>
    </r>
  </si>
  <si>
    <r>
      <rPr>
        <b/>
        <sz val="11"/>
        <color rgb="FFFF0000"/>
        <rFont val="Calibri"/>
        <family val="2"/>
        <scheme val="minor"/>
      </rPr>
      <t>InputCounties Tab</t>
    </r>
    <r>
      <rPr>
        <sz val="11"/>
        <color theme="1"/>
        <rFont val="Calibri"/>
        <family val="2"/>
        <scheme val="minor"/>
      </rPr>
      <t xml:space="preserve">
1.  Click the dropdown arrow to the right of the “Select Counties From the Filter” cell.  
2.  Select/deselect the county or counties that are part of your normal catchment area by adding or removing a check next to the county.  Use your best judgment as patient catchment areas do not align precisely with county boundaries. </t>
    </r>
    <r>
      <rPr>
        <i/>
        <sz val="11"/>
        <color theme="1"/>
        <rFont val="Calibri"/>
        <family val="2"/>
        <scheme val="minor"/>
      </rPr>
      <t>Please note:  most of the pivot table has been hidden from view to simplify the use of this tool and to prevent data corruption.</t>
    </r>
    <r>
      <rPr>
        <sz val="11"/>
        <color theme="1"/>
        <rFont val="Calibri"/>
        <family val="2"/>
        <scheme val="minor"/>
      </rPr>
      <t xml:space="preserve">
3.  For each county you select, the percentage of 
individuals who fit specific health equity 
characteristics will be automatically calculated 
and populated into the worksheet.
4.  Move to the Hazard 1 Tab.  
</t>
    </r>
  </si>
  <si>
    <r>
      <rPr>
        <b/>
        <sz val="11"/>
        <color rgb="FFFF0000"/>
        <rFont val="Calibri"/>
        <family val="2"/>
        <scheme val="minor"/>
      </rPr>
      <t>Hazard Tabs</t>
    </r>
    <r>
      <rPr>
        <sz val="11"/>
        <color theme="1"/>
        <rFont val="Calibri"/>
        <family val="2"/>
        <scheme val="minor"/>
      </rPr>
      <t xml:space="preserve">
1.  Each Hazard tab has been populated with the hazard (cell B2) and relative risk (cell E2) from the InputHazard tab and with population data based on the InputCounties tab (Columns C and D).   
2.  Population data from the InputCounties tab appears in Columns C (as a percentage) and D (as a number) of the total population of the selected counties.  Do not edit or replace this information.
3.  The next four columns will require manual input, by using the dropdown arrows next to each cell. Each dropdown provides a list of five options. Users should use their team’s best judgment to select the answer that best fits the prompt questions for that specific health equity consideration characteristic.</t>
    </r>
  </si>
  <si>
    <r>
      <rPr>
        <b/>
        <i/>
        <sz val="11"/>
        <color theme="1"/>
        <rFont val="Calibri"/>
        <family val="2"/>
        <scheme val="minor"/>
      </rPr>
      <t>Column E: Estimated impact</t>
    </r>
    <r>
      <rPr>
        <b/>
        <sz val="11"/>
        <color theme="1"/>
        <rFont val="Calibri"/>
        <family val="2"/>
        <scheme val="minor"/>
      </rPr>
      <t xml:space="preserve"> </t>
    </r>
    <r>
      <rPr>
        <sz val="11"/>
        <color theme="1"/>
        <rFont val="Calibri"/>
        <family val="2"/>
        <scheme val="minor"/>
      </rPr>
      <t xml:space="preserve"> 
4.  Assess “what impact would incoming patients from the identified groups have on our ability to respond to the specific hazard?”
This can be thought of as what percentage of the population of the identified group will likely seek medical care or need medical treatment or support from your facility or organization because of the hazard event.
For each yellow cell in Column E, click the dropdown arrow 
and enter the expected impact: 
    -  No impact
    -  Low impact
    -  Moderate impact
    -  High impact 
    -  Very High impact  
</t>
    </r>
  </si>
  <si>
    <r>
      <rPr>
        <b/>
        <i/>
        <sz val="11"/>
        <color theme="1"/>
        <rFont val="Calibri"/>
        <family val="2"/>
        <scheme val="minor"/>
      </rPr>
      <t xml:space="preserve">Columns F, G, and H: Mitigation </t>
    </r>
    <r>
      <rPr>
        <sz val="11"/>
        <color theme="1"/>
        <rFont val="Calibri"/>
        <family val="2"/>
        <scheme val="minor"/>
      </rPr>
      <t xml:space="preserve">
Assess your mitigation efforts (Columns F, G, and H).  These columns relate mitigation efforts that your organization and/or community have enacted to reduce the impact of the hazard on the selected population.
</t>
    </r>
    <r>
      <rPr>
        <b/>
        <u/>
        <sz val="11"/>
        <color theme="1"/>
        <rFont val="Calibri"/>
        <family val="2"/>
        <scheme val="minor"/>
      </rPr>
      <t>Column F: Resources</t>
    </r>
    <r>
      <rPr>
        <sz val="11"/>
        <color theme="1"/>
        <rFont val="Calibri"/>
        <family val="2"/>
        <scheme val="minor"/>
      </rPr>
      <t xml:space="preserve">
5.  Answer “How confident are you that your organization
has the resources to manage the estimated impact (from 
Column E)?”
Resources include, but are not necessarily limited to, how
much planning the user’s facility or organization has done
to prepare, the types and quantities of supplies on hand, 
staff availability, and MOUs to obtain supplies and/or staff
support. These answers may or may not vary depending
on the equity consideration characteristic being assessed.
6.  For each yellow cell in Column F, click the dropdown 
arrow and enter the expected impact: 
    -  Not at all confident
    -  Slightly confident
    -  Somewhat confident 
    -  Fairly confident 
    -  Completely confident</t>
    </r>
  </si>
  <si>
    <r>
      <rPr>
        <b/>
        <u/>
        <sz val="11"/>
        <color theme="1"/>
        <rFont val="Calibri"/>
        <family val="2"/>
        <scheme val="minor"/>
      </rPr>
      <t>Column G: Responsibility</t>
    </r>
    <r>
      <rPr>
        <sz val="11"/>
        <color theme="1"/>
        <rFont val="Calibri"/>
        <family val="2"/>
        <scheme val="minor"/>
      </rPr>
      <t xml:space="preserve">
7.  Determine “How responsible is your organization to address the needs of the identified group before an emergency?”
Answering this question requires some upstream thinking.
For example, a Federally Qualified Health Center (FQHC)
may have more responsibility to address the needs of
those below the 150% poverty rate before a hazard event
than a private, Continuing Care Retirement Community
(CCRC). This example may be extreme but is used for
illustrative purposes. These answers may or may not vary
depending on the equity consideration characteristic being
assessed.
8.  For each yellow cell in Column G, click the dropdown
arrow and enter the expected impact: 
    -  Not at all responsible
    -  Slightly responsible
    -  Somewhat responsible
    -  Fairly responsible
    -  Completely responsible
*Please note that the relative percentages are reversed in the calculations to reflect an increased equity burden with increasing responsibility.
</t>
    </r>
  </si>
  <si>
    <r>
      <rPr>
        <b/>
        <u/>
        <sz val="11"/>
        <color theme="1"/>
        <rFont val="Calibri"/>
        <family val="2"/>
        <scheme val="minor"/>
      </rPr>
      <t>Column H: Community Connections</t>
    </r>
    <r>
      <rPr>
        <sz val="11"/>
        <color theme="1"/>
        <rFont val="Calibri"/>
        <family val="2"/>
        <scheme val="minor"/>
      </rPr>
      <t xml:space="preserve">
9.  Answer “How confident are you that your organization can
connect these patients to the right community resources?”
These community resources include agencies that serve,
support, and work with the identified group from each row. 
These answers may or may not vary depending on the equity
consideration characteristic being assessed.
10.  For each yellow cell in Column H, click the dropdown
arrow and enter the expected impact: 
    -  Not at all confident
    -  Slightly confident
    -  Somewhat confident 
    -  Fairly confident 
    -  Completely confident</t>
    </r>
  </si>
  <si>
    <r>
      <rPr>
        <b/>
        <i/>
        <sz val="11"/>
        <color theme="1"/>
        <rFont val="Calibri"/>
        <family val="2"/>
        <scheme val="minor"/>
      </rPr>
      <t>Column I: Severity</t>
    </r>
    <r>
      <rPr>
        <sz val="11"/>
        <color theme="1"/>
        <rFont val="Calibri"/>
        <family val="2"/>
        <scheme val="minor"/>
      </rPr>
      <t xml:space="preserve">
Severity is automatically calculated and is a function of the population size (Column C) of the specific equity consideration as a percentage, the estimated impact (Column E), and mitigation efforts (Columns F, G, and H). </t>
    </r>
  </si>
  <si>
    <r>
      <rPr>
        <b/>
        <i/>
        <sz val="11"/>
        <color theme="1"/>
        <rFont val="Calibri"/>
        <family val="2"/>
        <scheme val="minor"/>
      </rPr>
      <t>Column J: Relative Health Equity Risk</t>
    </r>
    <r>
      <rPr>
        <sz val="11"/>
        <color theme="1"/>
        <rFont val="Calibri"/>
        <family val="2"/>
        <scheme val="minor"/>
      </rPr>
      <t xml:space="preserve">
Relative Health Equity Risk is automatically calculated and is a function of the Relative Risk score from the InputHazards worksheet. 
11.  Review your results in Column J.  The higher percentage, the more likely these populations are likely to experience negative health outcomes during a potential hazard and the more effort should be put into preparedness plans in advance of, and recovery support after, an event.
It is important to note that: </t>
    </r>
    <r>
      <rPr>
        <b/>
        <sz val="11"/>
        <color theme="1"/>
        <rFont val="Calibri"/>
        <family val="2"/>
        <scheme val="minor"/>
      </rPr>
      <t>the final results are intended to show *RELATIVE* risk only</t>
    </r>
    <r>
      <rPr>
        <sz val="11"/>
        <color theme="1"/>
        <rFont val="Calibri"/>
        <family val="2"/>
        <scheme val="minor"/>
      </rPr>
      <t xml:space="preserve">; the calculated percentages are meaningless independently and only show whether an identified health equity characteristic is at higher or lower risk than another. The percentage </t>
    </r>
    <r>
      <rPr>
        <b/>
        <u/>
        <sz val="11"/>
        <color theme="1"/>
        <rFont val="Calibri"/>
        <family val="2"/>
        <scheme val="minor"/>
      </rPr>
      <t>does not</t>
    </r>
    <r>
      <rPr>
        <sz val="11"/>
        <color theme="1"/>
        <rFont val="Calibri"/>
        <family val="2"/>
        <scheme val="minor"/>
      </rPr>
      <t xml:space="preserve"> indicate the degree of risk.  
12.  Move to the next Hazard.   After finishing the Hazard 1 Worksheet, work through the other Hazard tabs.  </t>
    </r>
  </si>
  <si>
    <r>
      <rPr>
        <b/>
        <sz val="11"/>
        <color rgb="FFFF0000"/>
        <rFont val="Calibri"/>
        <family val="2"/>
        <scheme val="minor"/>
      </rPr>
      <t>Data Bibliography Tab</t>
    </r>
    <r>
      <rPr>
        <sz val="11"/>
        <color theme="1"/>
        <rFont val="Calibri"/>
        <family val="2"/>
        <scheme val="minor"/>
      </rPr>
      <t xml:space="preserve">
References to data used in this tool are included in this tab.</t>
    </r>
  </si>
  <si>
    <r>
      <rPr>
        <b/>
        <sz val="11"/>
        <color rgb="FFFF0000"/>
        <rFont val="Calibri"/>
        <family val="2"/>
        <scheme val="minor"/>
      </rPr>
      <t>Summary Results Tab</t>
    </r>
    <r>
      <rPr>
        <sz val="11"/>
        <color theme="1"/>
        <rFont val="Calibri"/>
        <family val="2"/>
        <scheme val="minor"/>
      </rPr>
      <t xml:space="preserve">
After working through the Hazard Worksheets for the identified hazards, the resulting Relative Risk Score for each will be pulled into the Summary Results Worksheet, with the highest areas of Relative Risk shaded in red.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</si>
</sst>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4"/>
      <color theme="1"/>
      <name val="Calibri"/>
      <family val="2"/>
      <scheme val="minor"/>
    </font>
    <font>
      <b/>
      <sz val="12"/>
      <color theme="1"/>
      <name val="Calibri"/>
      <family val="2"/>
      <scheme val="minor"/>
    </font>
    <font>
      <b/>
      <sz val="12"/>
      <name val="Calibri"/>
      <family val="2"/>
      <scheme val="minor"/>
    </font>
    <font>
      <b/>
      <sz val="10"/>
      <name val="Calibri"/>
      <family val="2"/>
    </font>
    <font>
      <sz val="10"/>
      <name val="Calibri"/>
      <family val="2"/>
    </font>
    <font>
      <b/>
      <sz val="14"/>
      <name val="Calibri"/>
      <family val="2"/>
      <scheme val="minor"/>
    </font>
    <font>
      <sz val="9"/>
      <color theme="1"/>
      <name val="Calibri"/>
      <family val="2"/>
      <scheme val="minor"/>
    </font>
    <font>
      <sz val="12"/>
      <color theme="1"/>
      <name val="Calibri"/>
      <family val="2"/>
      <scheme val="minor"/>
    </font>
    <font>
      <b/>
      <sz val="16"/>
      <color theme="1"/>
      <name val="Calibri"/>
      <family val="2"/>
      <scheme val="minor"/>
    </font>
    <font>
      <sz val="11"/>
      <color rgb="FFFF0000"/>
      <name val="Calibri"/>
      <family val="2"/>
      <scheme val="minor"/>
    </font>
    <font>
      <b/>
      <sz val="11"/>
      <color rgb="FFFF0000"/>
      <name val="Calibri"/>
      <family val="2"/>
      <scheme val="minor"/>
    </font>
    <font>
      <i/>
      <sz val="11"/>
      <color theme="1"/>
      <name val="Calibri"/>
      <family val="2"/>
      <scheme val="minor"/>
    </font>
    <font>
      <b/>
      <i/>
      <sz val="11"/>
      <color theme="1"/>
      <name val="Calibri"/>
      <family val="2"/>
      <scheme val="minor"/>
    </font>
    <font>
      <b/>
      <u/>
      <sz val="11"/>
      <color theme="1"/>
      <name val="Calibri"/>
      <family val="2"/>
      <scheme val="minor"/>
    </font>
  </fonts>
  <fills count="16">
    <fill>
      <patternFill patternType="none"/>
    </fill>
    <fill>
      <patternFill patternType="gray125"/>
    </fill>
    <fill>
      <patternFill patternType="solid">
        <fgColor theme="0" tint="-0.249977111117893"/>
        <bgColor indexed="64"/>
      </patternFill>
    </fill>
    <fill>
      <patternFill patternType="solid">
        <fgColor theme="2" tint="-9.9978637043366805E-2"/>
        <bgColor indexed="64"/>
      </patternFill>
    </fill>
    <fill>
      <patternFill patternType="solid">
        <fgColor them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FF"/>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ck">
        <color indexed="64"/>
      </left>
      <right style="thin">
        <color theme="0" tint="-0.34998626667073579"/>
      </right>
      <top style="thick">
        <color indexed="64"/>
      </top>
      <bottom style="thin">
        <color theme="0" tint="-0.34998626667073579"/>
      </bottom>
      <diagonal/>
    </border>
    <border>
      <left style="thin">
        <color theme="0" tint="-0.34998626667073579"/>
      </left>
      <right style="thin">
        <color theme="0" tint="-0.34998626667073579"/>
      </right>
      <top style="thick">
        <color indexed="64"/>
      </top>
      <bottom style="thin">
        <color theme="0" tint="-0.34998626667073579"/>
      </bottom>
      <diagonal/>
    </border>
    <border>
      <left style="thin">
        <color theme="0" tint="-0.34998626667073579"/>
      </left>
      <right style="thick">
        <color indexed="64"/>
      </right>
      <top style="thick">
        <color indexed="64"/>
      </top>
      <bottom style="thin">
        <color theme="0" tint="-0.34998626667073579"/>
      </bottom>
      <diagonal/>
    </border>
    <border>
      <left style="thick">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ck">
        <color indexed="64"/>
      </right>
      <top style="thin">
        <color theme="0" tint="-0.34998626667073579"/>
      </top>
      <bottom style="thin">
        <color theme="0" tint="-0.34998626667073579"/>
      </bottom>
      <diagonal/>
    </border>
    <border>
      <left style="thick">
        <color indexed="64"/>
      </left>
      <right style="thin">
        <color theme="0" tint="-0.34998626667073579"/>
      </right>
      <top style="thin">
        <color theme="0" tint="-0.34998626667073579"/>
      </top>
      <bottom style="thick">
        <color indexed="64"/>
      </bottom>
      <diagonal/>
    </border>
    <border>
      <left style="thin">
        <color theme="0" tint="-0.34998626667073579"/>
      </left>
      <right style="thin">
        <color theme="0" tint="-0.34998626667073579"/>
      </right>
      <top style="thin">
        <color theme="0" tint="-0.34998626667073579"/>
      </top>
      <bottom style="thick">
        <color indexed="64"/>
      </bottom>
      <diagonal/>
    </border>
    <border>
      <left style="thin">
        <color theme="0" tint="-0.34998626667073579"/>
      </left>
      <right style="thick">
        <color indexed="64"/>
      </right>
      <top style="thin">
        <color theme="0" tint="-0.34998626667073579"/>
      </top>
      <bottom style="thick">
        <color indexed="64"/>
      </bottom>
      <diagonal/>
    </border>
    <border>
      <left style="thick">
        <color indexed="64"/>
      </left>
      <right style="thin">
        <color theme="0" tint="-0.24994659260841701"/>
      </right>
      <top style="thick">
        <color indexed="64"/>
      </top>
      <bottom style="thin">
        <color theme="0" tint="-0.24994659260841701"/>
      </bottom>
      <diagonal/>
    </border>
    <border>
      <left style="thin">
        <color theme="0" tint="-0.24994659260841701"/>
      </left>
      <right style="thin">
        <color theme="0" tint="-0.24994659260841701"/>
      </right>
      <top style="thick">
        <color indexed="64"/>
      </top>
      <bottom style="thin">
        <color theme="0" tint="-0.24994659260841701"/>
      </bottom>
      <diagonal/>
    </border>
    <border>
      <left style="thin">
        <color theme="0" tint="-0.24994659260841701"/>
      </left>
      <right style="thick">
        <color indexed="64"/>
      </right>
      <top style="thick">
        <color indexed="64"/>
      </top>
      <bottom style="thin">
        <color theme="0" tint="-0.24994659260841701"/>
      </bottom>
      <diagonal/>
    </border>
    <border>
      <left style="thick">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indexed="64"/>
      </right>
      <top style="thin">
        <color theme="0" tint="-0.24994659260841701"/>
      </top>
      <bottom style="thin">
        <color theme="0" tint="-0.24994659260841701"/>
      </bottom>
      <diagonal/>
    </border>
    <border>
      <left style="thick">
        <color indexed="64"/>
      </left>
      <right style="thin">
        <color theme="0" tint="-0.24994659260841701"/>
      </right>
      <top style="thin">
        <color theme="0" tint="-0.24994659260841701"/>
      </top>
      <bottom style="thick">
        <color indexed="64"/>
      </bottom>
      <diagonal/>
    </border>
    <border>
      <left style="thin">
        <color theme="0" tint="-0.24994659260841701"/>
      </left>
      <right style="thin">
        <color theme="0" tint="-0.24994659260841701"/>
      </right>
      <top style="thin">
        <color theme="0" tint="-0.24994659260841701"/>
      </top>
      <bottom style="thick">
        <color indexed="64"/>
      </bottom>
      <diagonal/>
    </border>
    <border>
      <left style="thin">
        <color theme="0" tint="-0.24994659260841701"/>
      </left>
      <right style="thick">
        <color indexed="64"/>
      </right>
      <top style="thin">
        <color theme="0" tint="-0.24994659260841701"/>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69">
    <xf numFmtId="0" fontId="0" fillId="0" borderId="0" xfId="0"/>
    <xf numFmtId="0" fontId="3" fillId="0" borderId="0" xfId="0" applyFont="1"/>
    <xf numFmtId="0" fontId="5" fillId="4" borderId="1" xfId="0" applyFont="1" applyFill="1" applyBorder="1" applyAlignment="1">
      <alignment horizontal="center" vertical="center" wrapText="1"/>
    </xf>
    <xf numFmtId="0" fontId="5" fillId="0" borderId="1" xfId="0" applyFont="1" applyBorder="1"/>
    <xf numFmtId="0" fontId="6" fillId="0" borderId="1" xfId="0" applyFont="1" applyBorder="1"/>
    <xf numFmtId="0" fontId="5" fillId="0" borderId="1" xfId="0" applyFont="1" applyBorder="1" applyAlignment="1">
      <alignment horizontal="left" vertical="center" wrapText="1"/>
    </xf>
    <xf numFmtId="0" fontId="2" fillId="0" borderId="0" xfId="0" applyFont="1"/>
    <xf numFmtId="0" fontId="5" fillId="3" borderId="1" xfId="0" applyFont="1" applyFill="1" applyBorder="1" applyAlignment="1">
      <alignment horizontal="center" vertical="center"/>
    </xf>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7" fillId="12" borderId="1" xfId="0" applyFont="1" applyFill="1" applyBorder="1" applyAlignment="1">
      <alignment horizontal="center" vertical="center" wrapText="1"/>
    </xf>
    <xf numFmtId="0" fontId="7" fillId="13" borderId="1" xfId="0" applyFont="1" applyFill="1" applyBorder="1" applyAlignment="1">
      <alignment horizontal="center" vertical="center" wrapText="1"/>
    </xf>
    <xf numFmtId="0" fontId="7" fillId="12" borderId="2" xfId="0" applyFont="1" applyFill="1" applyBorder="1" applyAlignment="1">
      <alignment horizontal="center" vertical="center" wrapText="1"/>
    </xf>
    <xf numFmtId="0" fontId="7" fillId="14"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8" fillId="12" borderId="1" xfId="0" applyFont="1" applyFill="1" applyBorder="1" applyAlignment="1">
      <alignment vertical="center" wrapText="1"/>
    </xf>
    <xf numFmtId="0" fontId="7" fillId="12" borderId="1" xfId="0" applyFont="1" applyFill="1" applyBorder="1" applyAlignment="1">
      <alignment vertical="center" wrapText="1"/>
    </xf>
    <xf numFmtId="0" fontId="7" fillId="12" borderId="2" xfId="0" applyFont="1" applyFill="1" applyBorder="1" applyAlignment="1">
      <alignment vertical="center" wrapText="1"/>
    </xf>
    <xf numFmtId="0" fontId="8" fillId="12" borderId="2" xfId="0" applyFont="1" applyFill="1" applyBorder="1" applyAlignment="1">
      <alignment vertical="center" wrapText="1"/>
    </xf>
    <xf numFmtId="0" fontId="8" fillId="13" borderId="2" xfId="0" applyFont="1" applyFill="1" applyBorder="1" applyAlignment="1">
      <alignment vertical="center" wrapText="1"/>
    </xf>
    <xf numFmtId="0" fontId="7" fillId="7" borderId="2" xfId="0" applyFont="1" applyFill="1" applyBorder="1" applyAlignment="1">
      <alignment vertical="center" wrapText="1"/>
    </xf>
    <xf numFmtId="0" fontId="7" fillId="14" borderId="2" xfId="0" applyFont="1" applyFill="1" applyBorder="1" applyAlignment="1">
      <alignment vertical="center" wrapText="1"/>
    </xf>
    <xf numFmtId="0" fontId="7" fillId="0" borderId="2" xfId="0" applyFont="1" applyBorder="1" applyAlignment="1">
      <alignment vertical="center" wrapText="1"/>
    </xf>
    <xf numFmtId="0" fontId="8" fillId="0" borderId="2" xfId="0" applyFont="1" applyBorder="1" applyAlignment="1">
      <alignment vertical="center" wrapText="1"/>
    </xf>
    <xf numFmtId="0" fontId="7" fillId="0" borderId="1" xfId="0" applyFont="1" applyBorder="1" applyAlignment="1">
      <alignment vertical="center" wrapText="1"/>
    </xf>
    <xf numFmtId="0" fontId="8" fillId="0" borderId="1" xfId="0" applyFont="1" applyBorder="1" applyAlignment="1">
      <alignment vertical="center" wrapText="1"/>
    </xf>
    <xf numFmtId="0" fontId="8" fillId="7" borderId="2" xfId="0" applyFont="1" applyFill="1" applyBorder="1" applyAlignment="1">
      <alignment vertical="center" wrapText="1"/>
    </xf>
    <xf numFmtId="1" fontId="3" fillId="0" borderId="3" xfId="0" applyNumberFormat="1" applyFont="1" applyBorder="1"/>
    <xf numFmtId="1" fontId="3" fillId="0" borderId="4" xfId="0" applyNumberFormat="1" applyFont="1" applyBorder="1"/>
    <xf numFmtId="164" fontId="3" fillId="0" borderId="0" xfId="0" applyNumberFormat="1" applyFont="1"/>
    <xf numFmtId="164" fontId="3" fillId="0" borderId="4" xfId="0" applyNumberFormat="1" applyFont="1" applyBorder="1"/>
    <xf numFmtId="1" fontId="3" fillId="0" borderId="0" xfId="0" applyNumberFormat="1" applyFont="1"/>
    <xf numFmtId="1" fontId="3" fillId="13" borderId="0" xfId="0" applyNumberFormat="1" applyFont="1" applyFill="1"/>
    <xf numFmtId="1" fontId="3" fillId="7" borderId="0" xfId="0" applyNumberFormat="1" applyFont="1" applyFill="1"/>
    <xf numFmtId="0" fontId="3" fillId="0" borderId="4" xfId="0" quotePrefix="1" applyFont="1" applyBorder="1" applyAlignment="1">
      <alignment horizontal="right"/>
    </xf>
    <xf numFmtId="2" fontId="3" fillId="0" borderId="4" xfId="0" applyNumberFormat="1" applyFont="1" applyBorder="1"/>
    <xf numFmtId="2" fontId="3" fillId="0" borderId="0" xfId="0" applyNumberFormat="1" applyFont="1"/>
    <xf numFmtId="1" fontId="3" fillId="14" borderId="4" xfId="0" applyNumberFormat="1" applyFont="1" applyFill="1" applyBorder="1"/>
    <xf numFmtId="0" fontId="3" fillId="0" borderId="0" xfId="0" applyFont="1" applyAlignment="1">
      <alignment horizontal="right"/>
    </xf>
    <xf numFmtId="1" fontId="3" fillId="0" borderId="0" xfId="0" applyNumberFormat="1" applyFont="1" applyAlignment="1">
      <alignment horizontal="right"/>
    </xf>
    <xf numFmtId="1" fontId="3" fillId="14" borderId="0" xfId="0" applyNumberFormat="1" applyFont="1" applyFill="1"/>
    <xf numFmtId="0" fontId="3" fillId="0" borderId="0" xfId="0" quotePrefix="1" applyFont="1" applyAlignment="1">
      <alignment horizontal="right"/>
    </xf>
    <xf numFmtId="0" fontId="4" fillId="0" borderId="1" xfId="0" applyFont="1" applyBorder="1" applyAlignment="1">
      <alignment horizontal="right" vertical="center"/>
    </xf>
    <xf numFmtId="0" fontId="9" fillId="0" borderId="1" xfId="0" applyFont="1" applyBorder="1" applyAlignment="1">
      <alignment horizontal="center" vertical="center"/>
    </xf>
    <xf numFmtId="0" fontId="5" fillId="4" borderId="7" xfId="0" applyFont="1" applyFill="1" applyBorder="1" applyAlignment="1">
      <alignment horizontal="center" vertical="center" wrapText="1"/>
    </xf>
    <xf numFmtId="0" fontId="5" fillId="4" borderId="1" xfId="0" applyFont="1" applyFill="1" applyBorder="1" applyAlignment="1">
      <alignment horizontal="center" vertical="center"/>
    </xf>
    <xf numFmtId="0" fontId="10" fillId="4" borderId="7" xfId="0" applyFont="1" applyFill="1" applyBorder="1" applyAlignment="1">
      <alignment horizontal="center" vertical="center" wrapText="1"/>
    </xf>
    <xf numFmtId="0" fontId="0" fillId="0" borderId="0" xfId="0" pivotButton="1"/>
    <xf numFmtId="0" fontId="0" fillId="0" borderId="0" xfId="0" applyAlignment="1">
      <alignment horizontal="left"/>
    </xf>
    <xf numFmtId="1" fontId="0" fillId="0" borderId="0" xfId="0" applyNumberFormat="1"/>
    <xf numFmtId="9" fontId="0" fillId="0" borderId="1" xfId="2" applyFont="1" applyFill="1" applyBorder="1"/>
    <xf numFmtId="165" fontId="0" fillId="0" borderId="1" xfId="1" applyNumberFormat="1" applyFont="1" applyBorder="1"/>
    <xf numFmtId="0" fontId="5" fillId="0" borderId="11" xfId="0" applyFont="1" applyBorder="1"/>
    <xf numFmtId="9" fontId="11" fillId="0" borderId="11" xfId="2" applyFont="1" applyFill="1" applyBorder="1" applyAlignment="1">
      <alignment horizontal="center" vertical="center"/>
    </xf>
    <xf numFmtId="165" fontId="11" fillId="0" borderId="11" xfId="1" applyNumberFormat="1" applyFont="1" applyFill="1" applyBorder="1" applyAlignment="1">
      <alignment horizontal="center" vertical="center"/>
    </xf>
    <xf numFmtId="9" fontId="11" fillId="0" borderId="11" xfId="2" applyFont="1" applyBorder="1" applyAlignment="1">
      <alignment horizontal="center" vertical="center"/>
    </xf>
    <xf numFmtId="10" fontId="11" fillId="0" borderId="12" xfId="2" applyNumberFormat="1" applyFont="1" applyBorder="1" applyAlignment="1">
      <alignment horizontal="center" vertical="center"/>
    </xf>
    <xf numFmtId="0" fontId="5" fillId="0" borderId="14" xfId="0" applyFont="1" applyBorder="1"/>
    <xf numFmtId="9" fontId="11" fillId="0" borderId="14" xfId="2" applyFont="1" applyFill="1" applyBorder="1" applyAlignment="1">
      <alignment horizontal="center" vertical="center"/>
    </xf>
    <xf numFmtId="165" fontId="11" fillId="0" borderId="14" xfId="1" applyNumberFormat="1" applyFont="1" applyFill="1" applyBorder="1" applyAlignment="1">
      <alignment horizontal="center" vertical="center"/>
    </xf>
    <xf numFmtId="9" fontId="11" fillId="0" borderId="14" xfId="2" applyFont="1" applyBorder="1" applyAlignment="1">
      <alignment horizontal="center" vertical="center"/>
    </xf>
    <xf numFmtId="10" fontId="11" fillId="0" borderId="15" xfId="2" applyNumberFormat="1" applyFont="1" applyBorder="1" applyAlignment="1">
      <alignment horizontal="center" vertical="center"/>
    </xf>
    <xf numFmtId="0" fontId="5" fillId="0" borderId="17" xfId="0" applyFont="1" applyBorder="1"/>
    <xf numFmtId="9" fontId="11" fillId="0" borderId="17" xfId="2" applyFont="1" applyFill="1" applyBorder="1" applyAlignment="1">
      <alignment horizontal="center" vertical="center"/>
    </xf>
    <xf numFmtId="165" fontId="11" fillId="0" borderId="17" xfId="1" applyNumberFormat="1" applyFont="1" applyFill="1" applyBorder="1" applyAlignment="1">
      <alignment horizontal="center" vertical="center"/>
    </xf>
    <xf numFmtId="9" fontId="11" fillId="0" borderId="17" xfId="2" applyFont="1" applyBorder="1" applyAlignment="1">
      <alignment horizontal="center" vertical="center"/>
    </xf>
    <xf numFmtId="10" fontId="11" fillId="0" borderId="18" xfId="2" applyNumberFormat="1" applyFont="1" applyBorder="1" applyAlignment="1">
      <alignment horizontal="center" vertical="center"/>
    </xf>
    <xf numFmtId="0" fontId="5" fillId="0" borderId="20" xfId="0" applyFont="1" applyBorder="1"/>
    <xf numFmtId="9" fontId="11" fillId="0" borderId="20" xfId="2" applyFont="1" applyFill="1" applyBorder="1" applyAlignment="1">
      <alignment horizontal="center" vertical="center"/>
    </xf>
    <xf numFmtId="165" fontId="11" fillId="0" borderId="20" xfId="1" applyNumberFormat="1" applyFont="1" applyFill="1" applyBorder="1" applyAlignment="1">
      <alignment horizontal="center" vertical="center"/>
    </xf>
    <xf numFmtId="9" fontId="11" fillId="0" borderId="20" xfId="2" applyFont="1" applyBorder="1" applyAlignment="1">
      <alignment horizontal="center" vertical="center"/>
    </xf>
    <xf numFmtId="10" fontId="11" fillId="0" borderId="21" xfId="2" applyNumberFormat="1" applyFont="1" applyBorder="1" applyAlignment="1">
      <alignment horizontal="center" vertical="center"/>
    </xf>
    <xf numFmtId="0" fontId="5" fillId="0" borderId="23" xfId="0" applyFont="1" applyBorder="1"/>
    <xf numFmtId="9" fontId="11" fillId="0" borderId="23" xfId="2" applyFont="1" applyFill="1" applyBorder="1" applyAlignment="1">
      <alignment horizontal="center" vertical="center"/>
    </xf>
    <xf numFmtId="165" fontId="11" fillId="0" borderId="23" xfId="1" applyNumberFormat="1" applyFont="1" applyFill="1" applyBorder="1" applyAlignment="1">
      <alignment horizontal="center" vertical="center"/>
    </xf>
    <xf numFmtId="9" fontId="11" fillId="0" borderId="23" xfId="2" applyFont="1" applyBorder="1" applyAlignment="1">
      <alignment horizontal="center" vertical="center"/>
    </xf>
    <xf numFmtId="10" fontId="11" fillId="0" borderId="24" xfId="2" applyNumberFormat="1" applyFont="1" applyBorder="1" applyAlignment="1">
      <alignment horizontal="center" vertical="center"/>
    </xf>
    <xf numFmtId="0" fontId="5" fillId="0" borderId="26" xfId="0" applyFont="1" applyBorder="1"/>
    <xf numFmtId="9" fontId="11" fillId="0" borderId="26" xfId="2" applyFont="1" applyFill="1" applyBorder="1" applyAlignment="1">
      <alignment horizontal="center" vertical="center"/>
    </xf>
    <xf numFmtId="165" fontId="11" fillId="0" borderId="26" xfId="1" applyNumberFormat="1" applyFont="1" applyFill="1" applyBorder="1" applyAlignment="1">
      <alignment horizontal="center" vertical="center"/>
    </xf>
    <xf numFmtId="9" fontId="11" fillId="0" borderId="26" xfId="2" applyFont="1" applyBorder="1" applyAlignment="1">
      <alignment horizontal="center" vertical="center"/>
    </xf>
    <xf numFmtId="10" fontId="11" fillId="0" borderId="27" xfId="2" applyNumberFormat="1" applyFont="1" applyBorder="1" applyAlignment="1">
      <alignment horizontal="center" vertical="center"/>
    </xf>
    <xf numFmtId="0" fontId="5" fillId="4" borderId="2" xfId="0" applyFont="1" applyFill="1" applyBorder="1" applyAlignment="1">
      <alignment horizontal="center" vertical="center" wrapText="1"/>
    </xf>
    <xf numFmtId="165" fontId="11" fillId="0" borderId="1" xfId="1" applyNumberFormat="1" applyFont="1" applyBorder="1"/>
    <xf numFmtId="10" fontId="11" fillId="0" borderId="1" xfId="0" applyNumberFormat="1" applyFont="1" applyBorder="1" applyAlignment="1">
      <alignment horizontal="center"/>
    </xf>
    <xf numFmtId="0" fontId="11" fillId="0" borderId="0" xfId="0" applyFont="1"/>
    <xf numFmtId="0" fontId="11" fillId="0" borderId="0" xfId="0" pivotButton="1" applyFont="1"/>
    <xf numFmtId="0" fontId="11" fillId="0" borderId="0" xfId="0" applyFont="1" applyAlignment="1">
      <alignment horizontal="left"/>
    </xf>
    <xf numFmtId="1" fontId="11" fillId="0" borderId="0" xfId="0" applyNumberFormat="1" applyFont="1"/>
    <xf numFmtId="0" fontId="0" fillId="0" borderId="0" xfId="0" applyAlignment="1">
      <alignment wrapText="1"/>
    </xf>
    <xf numFmtId="9" fontId="11" fillId="7" borderId="20" xfId="2" applyFont="1" applyFill="1" applyBorder="1" applyAlignment="1" applyProtection="1">
      <alignment horizontal="center" vertical="center"/>
      <protection locked="0"/>
    </xf>
    <xf numFmtId="9" fontId="11" fillId="7" borderId="23" xfId="2" applyFont="1" applyFill="1" applyBorder="1" applyAlignment="1" applyProtection="1">
      <alignment horizontal="center" vertical="center"/>
      <protection locked="0"/>
    </xf>
    <xf numFmtId="9" fontId="11" fillId="7" borderId="26" xfId="2" applyFont="1" applyFill="1" applyBorder="1" applyAlignment="1" applyProtection="1">
      <alignment horizontal="center" vertical="center"/>
      <protection locked="0"/>
    </xf>
    <xf numFmtId="9" fontId="11" fillId="7" borderId="11" xfId="2" applyFont="1" applyFill="1" applyBorder="1" applyAlignment="1" applyProtection="1">
      <alignment horizontal="center" vertical="center"/>
      <protection locked="0"/>
    </xf>
    <xf numFmtId="9" fontId="11" fillId="7" borderId="14" xfId="2" applyFont="1" applyFill="1" applyBorder="1" applyAlignment="1" applyProtection="1">
      <alignment horizontal="center" vertical="center"/>
      <protection locked="0"/>
    </xf>
    <xf numFmtId="9" fontId="11" fillId="7" borderId="17" xfId="2" applyFont="1" applyFill="1" applyBorder="1" applyAlignment="1" applyProtection="1">
      <alignment horizontal="center" vertical="center"/>
      <protection locked="0"/>
    </xf>
    <xf numFmtId="0" fontId="11" fillId="7" borderId="1" xfId="0" applyFont="1" applyFill="1" applyBorder="1" applyProtection="1">
      <protection locked="0"/>
    </xf>
    <xf numFmtId="9" fontId="11" fillId="7" borderId="1" xfId="2" applyFont="1" applyFill="1" applyBorder="1" applyAlignment="1" applyProtection="1">
      <alignment horizontal="center" vertical="center"/>
      <protection locked="0"/>
    </xf>
    <xf numFmtId="0" fontId="0" fillId="0" borderId="0" xfId="0" applyAlignment="1">
      <alignment vertical="top" wrapText="1"/>
    </xf>
    <xf numFmtId="0" fontId="0" fillId="0" borderId="0" xfId="0" applyAlignment="1">
      <alignment vertical="top"/>
    </xf>
    <xf numFmtId="0" fontId="0" fillId="15" borderId="31" xfId="0" applyFill="1" applyBorder="1" applyAlignment="1">
      <alignment horizontal="left" vertical="top" wrapText="1"/>
    </xf>
    <xf numFmtId="0" fontId="0" fillId="15" borderId="0" xfId="0" applyFill="1" applyAlignment="1">
      <alignment horizontal="left" vertical="top" wrapText="1"/>
    </xf>
    <xf numFmtId="0" fontId="0" fillId="15" borderId="32" xfId="0" applyFill="1" applyBorder="1" applyAlignment="1">
      <alignment horizontal="left" vertical="top" wrapText="1"/>
    </xf>
    <xf numFmtId="0" fontId="0" fillId="15" borderId="33" xfId="0" applyFill="1" applyBorder="1" applyAlignment="1">
      <alignment horizontal="left" vertical="top" wrapText="1"/>
    </xf>
    <xf numFmtId="0" fontId="0" fillId="15" borderId="34" xfId="0" applyFill="1" applyBorder="1" applyAlignment="1">
      <alignment horizontal="left" vertical="top" wrapText="1"/>
    </xf>
    <xf numFmtId="0" fontId="0" fillId="15" borderId="35" xfId="0" applyFill="1" applyBorder="1" applyAlignment="1">
      <alignment horizontal="left" vertical="top" wrapText="1"/>
    </xf>
    <xf numFmtId="0" fontId="0" fillId="15" borderId="28" xfId="0" applyFill="1" applyBorder="1" applyAlignment="1">
      <alignment horizontal="left" vertical="top" wrapText="1"/>
    </xf>
    <xf numFmtId="0" fontId="0" fillId="15" borderId="29" xfId="0" applyFill="1" applyBorder="1" applyAlignment="1">
      <alignment horizontal="left" vertical="top" wrapText="1"/>
    </xf>
    <xf numFmtId="0" fontId="0" fillId="15" borderId="30" xfId="0" applyFill="1" applyBorder="1" applyAlignment="1">
      <alignment horizontal="left" vertical="top" wrapText="1"/>
    </xf>
    <xf numFmtId="0" fontId="0" fillId="15" borderId="29" xfId="0" applyFill="1" applyBorder="1" applyAlignment="1">
      <alignment horizontal="left" vertical="top"/>
    </xf>
    <xf numFmtId="0" fontId="0" fillId="15" borderId="30" xfId="0" applyFill="1" applyBorder="1" applyAlignment="1">
      <alignment horizontal="left" vertical="top"/>
    </xf>
    <xf numFmtId="0" fontId="0" fillId="15" borderId="31" xfId="0" applyFill="1" applyBorder="1" applyAlignment="1">
      <alignment horizontal="left" vertical="top"/>
    </xf>
    <xf numFmtId="0" fontId="0" fillId="15" borderId="0" xfId="0" applyFill="1" applyAlignment="1">
      <alignment horizontal="left" vertical="top"/>
    </xf>
    <xf numFmtId="0" fontId="0" fillId="15" borderId="32" xfId="0" applyFill="1" applyBorder="1" applyAlignment="1">
      <alignment horizontal="left" vertical="top"/>
    </xf>
    <xf numFmtId="0" fontId="0" fillId="15" borderId="33" xfId="0" applyFill="1" applyBorder="1" applyAlignment="1">
      <alignment horizontal="left" vertical="top"/>
    </xf>
    <xf numFmtId="0" fontId="0" fillId="15" borderId="34" xfId="0" applyFill="1" applyBorder="1" applyAlignment="1">
      <alignment horizontal="left" vertical="top"/>
    </xf>
    <xf numFmtId="0" fontId="0" fillId="15" borderId="35" xfId="0" applyFill="1" applyBorder="1" applyAlignment="1">
      <alignment horizontal="left" vertical="top"/>
    </xf>
    <xf numFmtId="0" fontId="0" fillId="0" borderId="31" xfId="0" applyBorder="1" applyAlignment="1">
      <alignment horizontal="left" vertical="top" wrapText="1"/>
    </xf>
    <xf numFmtId="0" fontId="0" fillId="0" borderId="0" xfId="0" applyAlignment="1">
      <alignment horizontal="left" vertical="top" wrapText="1"/>
    </xf>
    <xf numFmtId="0" fontId="0" fillId="0" borderId="32" xfId="0" applyBorder="1" applyAlignment="1">
      <alignment horizontal="left" vertical="top" wrapText="1"/>
    </xf>
    <xf numFmtId="0" fontId="11" fillId="15" borderId="29" xfId="0" applyFont="1" applyFill="1" applyBorder="1" applyAlignment="1">
      <alignment horizontal="left" vertical="top" wrapText="1"/>
    </xf>
    <xf numFmtId="0" fontId="11" fillId="15" borderId="30" xfId="0" applyFont="1" applyFill="1" applyBorder="1" applyAlignment="1">
      <alignment horizontal="left" vertical="top" wrapText="1"/>
    </xf>
    <xf numFmtId="0" fontId="11" fillId="15" borderId="31" xfId="0" applyFont="1" applyFill="1" applyBorder="1" applyAlignment="1">
      <alignment horizontal="left" vertical="top" wrapText="1"/>
    </xf>
    <xf numFmtId="0" fontId="11" fillId="15" borderId="0" xfId="0" applyFont="1" applyFill="1" applyAlignment="1">
      <alignment horizontal="left" vertical="top" wrapText="1"/>
    </xf>
    <xf numFmtId="0" fontId="11" fillId="15" borderId="32" xfId="0" applyFont="1" applyFill="1" applyBorder="1" applyAlignment="1">
      <alignment horizontal="left" vertical="top" wrapText="1"/>
    </xf>
    <xf numFmtId="0" fontId="11" fillId="15" borderId="33" xfId="0" applyFont="1" applyFill="1" applyBorder="1" applyAlignment="1">
      <alignment horizontal="left" vertical="top" wrapText="1"/>
    </xf>
    <xf numFmtId="0" fontId="11" fillId="15" borderId="34" xfId="0" applyFont="1" applyFill="1" applyBorder="1" applyAlignment="1">
      <alignment horizontal="left" vertical="top" wrapText="1"/>
    </xf>
    <xf numFmtId="0" fontId="11" fillId="15" borderId="35" xfId="0" applyFont="1" applyFill="1" applyBorder="1" applyAlignment="1">
      <alignment horizontal="left" vertical="top" wrapText="1"/>
    </xf>
    <xf numFmtId="0" fontId="4" fillId="2" borderId="9"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6" xfId="0" applyFont="1" applyBorder="1" applyAlignment="1">
      <alignment horizontal="center" vertical="center" wrapText="1"/>
    </xf>
    <xf numFmtId="0" fontId="5" fillId="4" borderId="7" xfId="0" applyFont="1" applyFill="1" applyBorder="1" applyAlignment="1">
      <alignment horizontal="center" vertical="center"/>
    </xf>
    <xf numFmtId="0" fontId="5" fillId="4" borderId="8" xfId="0" applyFont="1" applyFill="1" applyBorder="1" applyAlignment="1">
      <alignment horizontal="center" vertical="center"/>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2" fillId="0" borderId="19"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5" xfId="0" applyFont="1" applyBorder="1" applyAlignment="1">
      <alignment horizontal="center" vertical="center" wrapText="1"/>
    </xf>
    <xf numFmtId="0" fontId="2" fillId="4" borderId="19"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horizontal="center" vertical="center"/>
    </xf>
    <xf numFmtId="0" fontId="4" fillId="2" borderId="0" xfId="0" applyFont="1" applyFill="1" applyAlignment="1">
      <alignment horizontal="center" vertical="center"/>
    </xf>
    <xf numFmtId="0" fontId="4" fillId="2" borderId="4" xfId="0" applyFont="1" applyFill="1" applyBorder="1" applyAlignment="1">
      <alignment horizontal="center" vertical="center"/>
    </xf>
    <xf numFmtId="0" fontId="4" fillId="0" borderId="1" xfId="0" applyFont="1" applyBorder="1" applyAlignment="1">
      <alignment horizontal="right" vertical="center"/>
    </xf>
    <xf numFmtId="9" fontId="9" fillId="0" borderId="1" xfId="0" applyNumberFormat="1" applyFont="1" applyBorder="1" applyAlignment="1">
      <alignment horizontal="center" vertical="center"/>
    </xf>
    <xf numFmtId="0" fontId="9" fillId="0" borderId="1" xfId="0" applyFont="1" applyBorder="1" applyAlignment="1">
      <alignment horizontal="center" vertical="center"/>
    </xf>
    <xf numFmtId="165" fontId="4" fillId="0" borderId="1" xfId="1" applyNumberFormat="1" applyFont="1" applyFill="1" applyBorder="1" applyAlignment="1">
      <alignment horizontal="center" vertical="center"/>
    </xf>
    <xf numFmtId="0" fontId="5" fillId="0" borderId="1" xfId="0" applyFont="1" applyBorder="1" applyAlignment="1">
      <alignment horizontal="center" vertical="center" wrapText="1"/>
    </xf>
    <xf numFmtId="0" fontId="12" fillId="2" borderId="0" xfId="0" applyFont="1" applyFill="1" applyAlignment="1">
      <alignment horizontal="center" vertical="center"/>
    </xf>
    <xf numFmtId="0" fontId="12" fillId="2" borderId="4" xfId="0" applyFont="1" applyFill="1" applyBorder="1" applyAlignment="1">
      <alignment horizontal="center" vertical="center"/>
    </xf>
    <xf numFmtId="0" fontId="5" fillId="4" borderId="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1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3" borderId="1" xfId="0" applyFont="1" applyFill="1" applyBorder="1" applyAlignment="1">
      <alignment horizontal="center" vertical="center"/>
    </xf>
  </cellXfs>
  <cellStyles count="3">
    <cellStyle name="Comma" xfId="1" builtinId="3"/>
    <cellStyle name="Normal" xfId="0" builtinId="0"/>
    <cellStyle name="Percent" xfId="2" builtinId="5"/>
  </cellStyles>
  <dxfs count="15">
    <dxf>
      <numFmt numFmtId="1" formatCode="0"/>
    </dxf>
    <dxf>
      <fill>
        <gradientFill degree="90">
          <stop position="0">
            <color theme="0"/>
          </stop>
          <stop position="1">
            <color rgb="FFFF0000"/>
          </stop>
        </gradientFill>
      </fill>
      <border>
        <vertical/>
        <horizontal/>
      </border>
    </dxf>
    <dxf>
      <fill>
        <patternFill patternType="solid">
          <fgColor auto="1"/>
          <bgColor rgb="FFFF0000"/>
        </patternFill>
      </fill>
      <border>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z val="12"/>
      </font>
    </dxf>
    <dxf>
      <font>
        <sz val="12"/>
      </font>
    </dxf>
    <dxf>
      <font>
        <sz val="12"/>
      </font>
    </dxf>
    <dxf>
      <font>
        <sz val="12"/>
      </font>
    </dxf>
    <dxf>
      <font>
        <sz val="12"/>
      </font>
    </dxf>
    <dxf>
      <font>
        <sz val="12"/>
      </font>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3.emf"/><Relationship Id="rId1" Type="http://schemas.openxmlformats.org/officeDocument/2006/relationships/image" Target="../media/image4.png"/><Relationship Id="rId6" Type="http://schemas.openxmlformats.org/officeDocument/2006/relationships/image" Target="../media/image8.emf"/><Relationship Id="rId5" Type="http://schemas.openxmlformats.org/officeDocument/2006/relationships/image" Target="../media/image7.png"/><Relationship Id="rId4" Type="http://schemas.openxmlformats.org/officeDocument/2006/relationships/image" Target="../media/image6.emf"/></Relationships>
</file>

<file path=xl/drawings/_rels/drawing5.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3.emf"/><Relationship Id="rId1" Type="http://schemas.openxmlformats.org/officeDocument/2006/relationships/image" Target="../media/image4.png"/><Relationship Id="rId6" Type="http://schemas.openxmlformats.org/officeDocument/2006/relationships/image" Target="../media/image8.emf"/><Relationship Id="rId5" Type="http://schemas.openxmlformats.org/officeDocument/2006/relationships/image" Target="../media/image7.png"/><Relationship Id="rId4" Type="http://schemas.openxmlformats.org/officeDocument/2006/relationships/image" Target="../media/image6.emf"/></Relationships>
</file>

<file path=xl/drawings/_rels/drawing6.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3.emf"/><Relationship Id="rId1" Type="http://schemas.openxmlformats.org/officeDocument/2006/relationships/image" Target="../media/image4.png"/><Relationship Id="rId6" Type="http://schemas.openxmlformats.org/officeDocument/2006/relationships/image" Target="../media/image8.emf"/><Relationship Id="rId5" Type="http://schemas.openxmlformats.org/officeDocument/2006/relationships/image" Target="../media/image7.png"/><Relationship Id="rId4" Type="http://schemas.openxmlformats.org/officeDocument/2006/relationships/image" Target="../media/image6.emf"/></Relationships>
</file>

<file path=xl/drawings/_rels/drawing7.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3.emf"/><Relationship Id="rId1" Type="http://schemas.openxmlformats.org/officeDocument/2006/relationships/image" Target="../media/image4.png"/><Relationship Id="rId6" Type="http://schemas.openxmlformats.org/officeDocument/2006/relationships/image" Target="../media/image8.emf"/><Relationship Id="rId5" Type="http://schemas.openxmlformats.org/officeDocument/2006/relationships/image" Target="../media/image7.png"/><Relationship Id="rId4" Type="http://schemas.openxmlformats.org/officeDocument/2006/relationships/image" Target="../media/image6.emf"/></Relationships>
</file>

<file path=xl/drawings/_rels/drawing8.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3.emf"/><Relationship Id="rId1" Type="http://schemas.openxmlformats.org/officeDocument/2006/relationships/image" Target="../media/image4.png"/><Relationship Id="rId6" Type="http://schemas.openxmlformats.org/officeDocument/2006/relationships/image" Target="../media/image8.emf"/><Relationship Id="rId5" Type="http://schemas.openxmlformats.org/officeDocument/2006/relationships/image" Target="../media/image7.png"/><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66</xdr:row>
      <xdr:rowOff>76200</xdr:rowOff>
    </xdr:from>
    <xdr:to>
      <xdr:col>6</xdr:col>
      <xdr:colOff>504826</xdr:colOff>
      <xdr:row>69</xdr:row>
      <xdr:rowOff>121773</xdr:rowOff>
    </xdr:to>
    <xdr:pic>
      <xdr:nvPicPr>
        <xdr:cNvPr id="2" name="Picture 1">
          <a:extLst>
            <a:ext uri="{FF2B5EF4-FFF2-40B4-BE49-F238E27FC236}">
              <a16:creationId xmlns:a16="http://schemas.microsoft.com/office/drawing/2014/main" id="{B6570B8E-6762-91A8-493F-EAD2357DDD72}"/>
            </a:ext>
          </a:extLst>
        </xdr:cNvPr>
        <xdr:cNvPicPr>
          <a:picLocks noChangeAspect="1"/>
        </xdr:cNvPicPr>
      </xdr:nvPicPr>
      <xdr:blipFill>
        <a:blip xmlns:r="http://schemas.openxmlformats.org/officeDocument/2006/relationships" r:embed="rId1"/>
        <a:stretch>
          <a:fillRect/>
        </a:stretch>
      </xdr:blipFill>
      <xdr:spPr>
        <a:xfrm>
          <a:off x="123826" y="12658725"/>
          <a:ext cx="4038600" cy="617073"/>
        </a:xfrm>
        <a:prstGeom prst="rect">
          <a:avLst/>
        </a:prstGeom>
      </xdr:spPr>
    </xdr:pic>
    <xdr:clientData/>
  </xdr:twoCellAnchor>
  <xdr:twoCellAnchor>
    <xdr:from>
      <xdr:col>5</xdr:col>
      <xdr:colOff>533400</xdr:colOff>
      <xdr:row>67</xdr:row>
      <xdr:rowOff>85725</xdr:rowOff>
    </xdr:from>
    <xdr:to>
      <xdr:col>6</xdr:col>
      <xdr:colOff>304165</xdr:colOff>
      <xdr:row>69</xdr:row>
      <xdr:rowOff>31115</xdr:rowOff>
    </xdr:to>
    <xdr:sp macro="" textlink="">
      <xdr:nvSpPr>
        <xdr:cNvPr id="3" name="Rectangle 2">
          <a:extLst>
            <a:ext uri="{FF2B5EF4-FFF2-40B4-BE49-F238E27FC236}">
              <a16:creationId xmlns:a16="http://schemas.microsoft.com/office/drawing/2014/main" id="{AAA47710-D07D-4E74-7DBC-D569D616C001}"/>
            </a:ext>
          </a:extLst>
        </xdr:cNvPr>
        <xdr:cNvSpPr/>
      </xdr:nvSpPr>
      <xdr:spPr>
        <a:xfrm>
          <a:off x="3581400" y="12858750"/>
          <a:ext cx="380365" cy="32639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5</xdr:col>
      <xdr:colOff>419100</xdr:colOff>
      <xdr:row>75</xdr:row>
      <xdr:rowOff>47625</xdr:rowOff>
    </xdr:from>
    <xdr:to>
      <xdr:col>9</xdr:col>
      <xdr:colOff>243205</xdr:colOff>
      <xdr:row>93</xdr:row>
      <xdr:rowOff>4445</xdr:rowOff>
    </xdr:to>
    <xdr:pic>
      <xdr:nvPicPr>
        <xdr:cNvPr id="4" name="Picture 3" descr="Graphical user interface, application&#10;&#10;Description automatically generated">
          <a:extLst>
            <a:ext uri="{FF2B5EF4-FFF2-40B4-BE49-F238E27FC236}">
              <a16:creationId xmlns:a16="http://schemas.microsoft.com/office/drawing/2014/main" id="{D86C257E-EEF6-C9E0-C51A-F9AB2F084C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67100" y="14344650"/>
          <a:ext cx="2262505" cy="3385820"/>
        </a:xfrm>
        <a:prstGeom prst="rect">
          <a:avLst/>
        </a:prstGeom>
      </xdr:spPr>
    </xdr:pic>
    <xdr:clientData/>
  </xdr:twoCellAnchor>
  <xdr:twoCellAnchor>
    <xdr:from>
      <xdr:col>6</xdr:col>
      <xdr:colOff>180975</xdr:colOff>
      <xdr:row>83</xdr:row>
      <xdr:rowOff>104775</xdr:rowOff>
    </xdr:from>
    <xdr:to>
      <xdr:col>6</xdr:col>
      <xdr:colOff>416560</xdr:colOff>
      <xdr:row>91</xdr:row>
      <xdr:rowOff>50165</xdr:rowOff>
    </xdr:to>
    <xdr:sp macro="" textlink="">
      <xdr:nvSpPr>
        <xdr:cNvPr id="5" name="Rectangle 4">
          <a:extLst>
            <a:ext uri="{FF2B5EF4-FFF2-40B4-BE49-F238E27FC236}">
              <a16:creationId xmlns:a16="http://schemas.microsoft.com/office/drawing/2014/main" id="{8E7378B9-8A55-C4E4-E8AF-C190605DE5C8}"/>
            </a:ext>
          </a:extLst>
        </xdr:cNvPr>
        <xdr:cNvSpPr/>
      </xdr:nvSpPr>
      <xdr:spPr>
        <a:xfrm>
          <a:off x="3838575" y="15925800"/>
          <a:ext cx="235585" cy="146939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0</xdr:col>
      <xdr:colOff>66675</xdr:colOff>
      <xdr:row>121</xdr:row>
      <xdr:rowOff>104776</xdr:rowOff>
    </xdr:from>
    <xdr:to>
      <xdr:col>5</xdr:col>
      <xdr:colOff>442742</xdr:colOff>
      <xdr:row>126</xdr:row>
      <xdr:rowOff>171450</xdr:rowOff>
    </xdr:to>
    <xdr:pic>
      <xdr:nvPicPr>
        <xdr:cNvPr id="8" name="Picture 7">
          <a:extLst>
            <a:ext uri="{FF2B5EF4-FFF2-40B4-BE49-F238E27FC236}">
              <a16:creationId xmlns:a16="http://schemas.microsoft.com/office/drawing/2014/main" id="{806E67FA-FC1B-3B74-CC3F-9498CB2897B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8622" b="20131"/>
        <a:stretch/>
      </xdr:blipFill>
      <xdr:spPr bwMode="auto">
        <a:xfrm>
          <a:off x="66675" y="23174326"/>
          <a:ext cx="3424067" cy="1019174"/>
        </a:xfrm>
        <a:prstGeom prst="rect">
          <a:avLst/>
        </a:prstGeom>
        <a:noFill/>
        <a:ln>
          <a:noFill/>
        </a:ln>
      </xdr:spPr>
    </xdr:pic>
    <xdr:clientData/>
  </xdr:twoCellAnchor>
  <xdr:twoCellAnchor>
    <xdr:from>
      <xdr:col>6</xdr:col>
      <xdr:colOff>171450</xdr:colOff>
      <xdr:row>114</xdr:row>
      <xdr:rowOff>66675</xdr:rowOff>
    </xdr:from>
    <xdr:to>
      <xdr:col>9</xdr:col>
      <xdr:colOff>355600</xdr:colOff>
      <xdr:row>128</xdr:row>
      <xdr:rowOff>142875</xdr:rowOff>
    </xdr:to>
    <xdr:grpSp>
      <xdr:nvGrpSpPr>
        <xdr:cNvPr id="23" name="Group 22">
          <a:extLst>
            <a:ext uri="{FF2B5EF4-FFF2-40B4-BE49-F238E27FC236}">
              <a16:creationId xmlns:a16="http://schemas.microsoft.com/office/drawing/2014/main" id="{F11C597C-D773-BC4A-0D53-E6CF17A598BE}"/>
            </a:ext>
          </a:extLst>
        </xdr:cNvPr>
        <xdr:cNvGrpSpPr/>
      </xdr:nvGrpSpPr>
      <xdr:grpSpPr>
        <a:xfrm>
          <a:off x="3829050" y="21802725"/>
          <a:ext cx="2012950" cy="2743200"/>
          <a:chOff x="3829050" y="21802725"/>
          <a:chExt cx="2012950" cy="2743200"/>
        </a:xfrm>
      </xdr:grpSpPr>
      <xdr:pic>
        <xdr:nvPicPr>
          <xdr:cNvPr id="9" name="Picture 8" descr="Graphical user interface, application, table, Excel&#10;&#10;Description automatically generated">
            <a:extLst>
              <a:ext uri="{FF2B5EF4-FFF2-40B4-BE49-F238E27FC236}">
                <a16:creationId xmlns:a16="http://schemas.microsoft.com/office/drawing/2014/main" id="{EB633CE0-9684-3523-D686-1C3227BB47C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6854" t="40181" r="40751" b="11115"/>
          <a:stretch/>
        </xdr:blipFill>
        <xdr:spPr bwMode="auto">
          <a:xfrm>
            <a:off x="3829050" y="21802725"/>
            <a:ext cx="2012950" cy="2743200"/>
          </a:xfrm>
          <a:prstGeom prst="rect">
            <a:avLst/>
          </a:prstGeom>
          <a:ln>
            <a:noFill/>
          </a:ln>
          <a:extLst>
            <a:ext uri="{53640926-AAD7-44D8-BBD7-CCE9431645EC}">
              <a14:shadowObscured xmlns:a14="http://schemas.microsoft.com/office/drawing/2010/main"/>
            </a:ext>
          </a:extLst>
        </xdr:spPr>
      </xdr:pic>
      <xdr:sp macro="" textlink="">
        <xdr:nvSpPr>
          <xdr:cNvPr id="10" name="Rectangle 9">
            <a:extLst>
              <a:ext uri="{FF2B5EF4-FFF2-40B4-BE49-F238E27FC236}">
                <a16:creationId xmlns:a16="http://schemas.microsoft.com/office/drawing/2014/main" id="{2FC91E71-7BA3-9384-0DAA-89DA4AAE7AB8}"/>
              </a:ext>
            </a:extLst>
          </xdr:cNvPr>
          <xdr:cNvSpPr/>
        </xdr:nvSpPr>
        <xdr:spPr>
          <a:xfrm>
            <a:off x="5591175" y="23498175"/>
            <a:ext cx="224790" cy="2387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clientData/>
  </xdr:twoCellAnchor>
  <xdr:twoCellAnchor>
    <xdr:from>
      <xdr:col>6</xdr:col>
      <xdr:colOff>114300</xdr:colOff>
      <xdr:row>136</xdr:row>
      <xdr:rowOff>47625</xdr:rowOff>
    </xdr:from>
    <xdr:to>
      <xdr:col>9</xdr:col>
      <xdr:colOff>243840</xdr:colOff>
      <xdr:row>150</xdr:row>
      <xdr:rowOff>123825</xdr:rowOff>
    </xdr:to>
    <xdr:grpSp>
      <xdr:nvGrpSpPr>
        <xdr:cNvPr id="24" name="Group 23">
          <a:extLst>
            <a:ext uri="{FF2B5EF4-FFF2-40B4-BE49-F238E27FC236}">
              <a16:creationId xmlns:a16="http://schemas.microsoft.com/office/drawing/2014/main" id="{0544AA6D-35B9-FF13-73B4-C91716EBE9D1}"/>
            </a:ext>
          </a:extLst>
        </xdr:cNvPr>
        <xdr:cNvGrpSpPr/>
      </xdr:nvGrpSpPr>
      <xdr:grpSpPr>
        <a:xfrm>
          <a:off x="3771900" y="25974675"/>
          <a:ext cx="1958340" cy="2743200"/>
          <a:chOff x="3771900" y="25974675"/>
          <a:chExt cx="1958340" cy="2743200"/>
        </a:xfrm>
      </xdr:grpSpPr>
      <xdr:pic>
        <xdr:nvPicPr>
          <xdr:cNvPr id="11" name="Picture 10" descr="Graphical user interface, table, Excel&#10;&#10;Description automatically generated">
            <a:extLst>
              <a:ext uri="{FF2B5EF4-FFF2-40B4-BE49-F238E27FC236}">
                <a16:creationId xmlns:a16="http://schemas.microsoft.com/office/drawing/2014/main" id="{C3B1E273-31CD-7293-D57B-652E3A1B60B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1929" t="39939" r="56250" b="11295"/>
          <a:stretch/>
        </xdr:blipFill>
        <xdr:spPr bwMode="auto">
          <a:xfrm>
            <a:off x="3771900" y="25974675"/>
            <a:ext cx="1958340" cy="2743200"/>
          </a:xfrm>
          <a:prstGeom prst="rect">
            <a:avLst/>
          </a:prstGeom>
          <a:ln>
            <a:noFill/>
          </a:ln>
          <a:extLst>
            <a:ext uri="{53640926-AAD7-44D8-BBD7-CCE9431645EC}">
              <a14:shadowObscured xmlns:a14="http://schemas.microsoft.com/office/drawing/2010/main"/>
            </a:ext>
          </a:extLst>
        </xdr:spPr>
      </xdr:pic>
      <xdr:sp macro="" textlink="">
        <xdr:nvSpPr>
          <xdr:cNvPr id="12" name="Rectangle 11">
            <a:extLst>
              <a:ext uri="{FF2B5EF4-FFF2-40B4-BE49-F238E27FC236}">
                <a16:creationId xmlns:a16="http://schemas.microsoft.com/office/drawing/2014/main" id="{0CBD86A8-5D0B-619D-5759-DCF847C959CE}"/>
              </a:ext>
            </a:extLst>
          </xdr:cNvPr>
          <xdr:cNvSpPr/>
        </xdr:nvSpPr>
        <xdr:spPr>
          <a:xfrm>
            <a:off x="5572124" y="27717750"/>
            <a:ext cx="158115"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clientData/>
  </xdr:twoCellAnchor>
  <xdr:twoCellAnchor editAs="oneCell">
    <xdr:from>
      <xdr:col>3</xdr:col>
      <xdr:colOff>314325</xdr:colOff>
      <xdr:row>151</xdr:row>
      <xdr:rowOff>66676</xdr:rowOff>
    </xdr:from>
    <xdr:to>
      <xdr:col>9</xdr:col>
      <xdr:colOff>276225</xdr:colOff>
      <xdr:row>157</xdr:row>
      <xdr:rowOff>9526</xdr:rowOff>
    </xdr:to>
    <xdr:pic>
      <xdr:nvPicPr>
        <xdr:cNvPr id="13" name="Picture 12">
          <a:extLst>
            <a:ext uri="{FF2B5EF4-FFF2-40B4-BE49-F238E27FC236}">
              <a16:creationId xmlns:a16="http://schemas.microsoft.com/office/drawing/2014/main" id="{E963C954-27C4-6508-6465-E1DD45310B0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39102" b="20131"/>
        <a:stretch/>
      </xdr:blipFill>
      <xdr:spPr bwMode="auto">
        <a:xfrm>
          <a:off x="2143125" y="28851226"/>
          <a:ext cx="3619500" cy="1085850"/>
        </a:xfrm>
        <a:prstGeom prst="rect">
          <a:avLst/>
        </a:prstGeom>
        <a:noFill/>
        <a:ln>
          <a:noFill/>
        </a:ln>
      </xdr:spPr>
    </xdr:pic>
    <xdr:clientData/>
  </xdr:twoCellAnchor>
  <xdr:twoCellAnchor>
    <xdr:from>
      <xdr:col>6</xdr:col>
      <xdr:colOff>47625</xdr:colOff>
      <xdr:row>162</xdr:row>
      <xdr:rowOff>66675</xdr:rowOff>
    </xdr:from>
    <xdr:to>
      <xdr:col>9</xdr:col>
      <xdr:colOff>356235</xdr:colOff>
      <xdr:row>176</xdr:row>
      <xdr:rowOff>142875</xdr:rowOff>
    </xdr:to>
    <xdr:grpSp>
      <xdr:nvGrpSpPr>
        <xdr:cNvPr id="25" name="Group 24">
          <a:extLst>
            <a:ext uri="{FF2B5EF4-FFF2-40B4-BE49-F238E27FC236}">
              <a16:creationId xmlns:a16="http://schemas.microsoft.com/office/drawing/2014/main" id="{A4FAFB40-315D-EB0A-2462-BD9F25146932}"/>
            </a:ext>
          </a:extLst>
        </xdr:cNvPr>
        <xdr:cNvGrpSpPr/>
      </xdr:nvGrpSpPr>
      <xdr:grpSpPr>
        <a:xfrm>
          <a:off x="3705225" y="30946725"/>
          <a:ext cx="2137410" cy="2743200"/>
          <a:chOff x="3705225" y="30946725"/>
          <a:chExt cx="2137410" cy="2743200"/>
        </a:xfrm>
      </xdr:grpSpPr>
      <xdr:pic>
        <xdr:nvPicPr>
          <xdr:cNvPr id="14" name="Picture 13" descr="Table, Excel&#10;&#10;Description automatically generated">
            <a:extLst>
              <a:ext uri="{FF2B5EF4-FFF2-40B4-BE49-F238E27FC236}">
                <a16:creationId xmlns:a16="http://schemas.microsoft.com/office/drawing/2014/main" id="{70622182-02D8-05B3-CA18-6519EB40D90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9724" t="43973" r="38343" b="11125"/>
          <a:stretch/>
        </xdr:blipFill>
        <xdr:spPr bwMode="auto">
          <a:xfrm>
            <a:off x="3705225" y="30946725"/>
            <a:ext cx="2137410" cy="2743200"/>
          </a:xfrm>
          <a:prstGeom prst="rect">
            <a:avLst/>
          </a:prstGeom>
          <a:ln>
            <a:noFill/>
          </a:ln>
          <a:extLst>
            <a:ext uri="{53640926-AAD7-44D8-BBD7-CCE9431645EC}">
              <a14:shadowObscured xmlns:a14="http://schemas.microsoft.com/office/drawing/2010/main"/>
            </a:ext>
          </a:extLst>
        </xdr:spPr>
      </xdr:pic>
      <xdr:sp macro="" textlink="">
        <xdr:nvSpPr>
          <xdr:cNvPr id="15" name="Rectangle 14">
            <a:extLst>
              <a:ext uri="{FF2B5EF4-FFF2-40B4-BE49-F238E27FC236}">
                <a16:creationId xmlns:a16="http://schemas.microsoft.com/office/drawing/2014/main" id="{9AF3E567-8BEB-75BD-E723-AC2529BBD4AC}"/>
              </a:ext>
            </a:extLst>
          </xdr:cNvPr>
          <xdr:cNvSpPr/>
        </xdr:nvSpPr>
        <xdr:spPr>
          <a:xfrm>
            <a:off x="5648325" y="32594550"/>
            <a:ext cx="186690"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clientData/>
  </xdr:twoCellAnchor>
  <xdr:twoCellAnchor editAs="oneCell">
    <xdr:from>
      <xdr:col>0</xdr:col>
      <xdr:colOff>19050</xdr:colOff>
      <xdr:row>179</xdr:row>
      <xdr:rowOff>85725</xdr:rowOff>
    </xdr:from>
    <xdr:to>
      <xdr:col>5</xdr:col>
      <xdr:colOff>542925</xdr:colOff>
      <xdr:row>185</xdr:row>
      <xdr:rowOff>15875</xdr:rowOff>
    </xdr:to>
    <xdr:pic>
      <xdr:nvPicPr>
        <xdr:cNvPr id="16" name="Picture 15">
          <a:extLst>
            <a:ext uri="{FF2B5EF4-FFF2-40B4-BE49-F238E27FC236}">
              <a16:creationId xmlns:a16="http://schemas.microsoft.com/office/drawing/2014/main" id="{08E83815-869F-02C2-1E44-23DC2A2ED963}"/>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602" t="10344" r="38302"/>
        <a:stretch/>
      </xdr:blipFill>
      <xdr:spPr bwMode="auto">
        <a:xfrm>
          <a:off x="19050" y="34204275"/>
          <a:ext cx="3571875" cy="1073150"/>
        </a:xfrm>
        <a:prstGeom prst="rect">
          <a:avLst/>
        </a:prstGeom>
        <a:noFill/>
        <a:ln>
          <a:noFill/>
        </a:ln>
      </xdr:spPr>
    </xdr:pic>
    <xdr:clientData/>
  </xdr:twoCellAnchor>
  <xdr:twoCellAnchor>
    <xdr:from>
      <xdr:col>6</xdr:col>
      <xdr:colOff>66675</xdr:colOff>
      <xdr:row>189</xdr:row>
      <xdr:rowOff>38100</xdr:rowOff>
    </xdr:from>
    <xdr:to>
      <xdr:col>9</xdr:col>
      <xdr:colOff>385445</xdr:colOff>
      <xdr:row>203</xdr:row>
      <xdr:rowOff>114300</xdr:rowOff>
    </xdr:to>
    <xdr:grpSp>
      <xdr:nvGrpSpPr>
        <xdr:cNvPr id="26" name="Group 25">
          <a:extLst>
            <a:ext uri="{FF2B5EF4-FFF2-40B4-BE49-F238E27FC236}">
              <a16:creationId xmlns:a16="http://schemas.microsoft.com/office/drawing/2014/main" id="{53C73482-2A31-7A87-5640-5FCD8610D3FF}"/>
            </a:ext>
          </a:extLst>
        </xdr:cNvPr>
        <xdr:cNvGrpSpPr/>
      </xdr:nvGrpSpPr>
      <xdr:grpSpPr>
        <a:xfrm>
          <a:off x="3724275" y="36061650"/>
          <a:ext cx="2147570" cy="2743200"/>
          <a:chOff x="3724275" y="36061650"/>
          <a:chExt cx="2147570" cy="2743200"/>
        </a:xfrm>
      </xdr:grpSpPr>
      <xdr:pic>
        <xdr:nvPicPr>
          <xdr:cNvPr id="17" name="Picture 16" descr="Table&#10;&#10;Description automatically generated">
            <a:extLst>
              <a:ext uri="{FF2B5EF4-FFF2-40B4-BE49-F238E27FC236}">
                <a16:creationId xmlns:a16="http://schemas.microsoft.com/office/drawing/2014/main" id="{1F3A7B17-65E8-BC6B-D4D0-5BBE513427D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57765" t="44004" r="20169" b="11038"/>
          <a:stretch/>
        </xdr:blipFill>
        <xdr:spPr bwMode="auto">
          <a:xfrm>
            <a:off x="3724275" y="36061650"/>
            <a:ext cx="2147570" cy="2743200"/>
          </a:xfrm>
          <a:prstGeom prst="rect">
            <a:avLst/>
          </a:prstGeom>
          <a:ln>
            <a:noFill/>
          </a:ln>
          <a:extLst>
            <a:ext uri="{53640926-AAD7-44D8-BBD7-CCE9431645EC}">
              <a14:shadowObscured xmlns:a14="http://schemas.microsoft.com/office/drawing/2010/main"/>
            </a:ext>
          </a:extLst>
        </xdr:spPr>
      </xdr:pic>
      <xdr:sp macro="" textlink="">
        <xdr:nvSpPr>
          <xdr:cNvPr id="18" name="Rectangle 17">
            <a:extLst>
              <a:ext uri="{FF2B5EF4-FFF2-40B4-BE49-F238E27FC236}">
                <a16:creationId xmlns:a16="http://schemas.microsoft.com/office/drawing/2014/main" id="{04D93412-8748-DCF3-7A8F-19EE89A96C30}"/>
              </a:ext>
            </a:extLst>
          </xdr:cNvPr>
          <xdr:cNvSpPr/>
        </xdr:nvSpPr>
        <xdr:spPr>
          <a:xfrm>
            <a:off x="5629275" y="37652325"/>
            <a:ext cx="224790" cy="238760"/>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clientData/>
  </xdr:twoCellAnchor>
  <xdr:twoCellAnchor editAs="oneCell">
    <xdr:from>
      <xdr:col>0</xdr:col>
      <xdr:colOff>19050</xdr:colOff>
      <xdr:row>204</xdr:row>
      <xdr:rowOff>47625</xdr:rowOff>
    </xdr:from>
    <xdr:to>
      <xdr:col>5</xdr:col>
      <xdr:colOff>588645</xdr:colOff>
      <xdr:row>209</xdr:row>
      <xdr:rowOff>175895</xdr:rowOff>
    </xdr:to>
    <xdr:pic>
      <xdr:nvPicPr>
        <xdr:cNvPr id="22" name="Picture 21">
          <a:extLst>
            <a:ext uri="{FF2B5EF4-FFF2-40B4-BE49-F238E27FC236}">
              <a16:creationId xmlns:a16="http://schemas.microsoft.com/office/drawing/2014/main" id="{E67E3D30-5E5A-C133-5E62-46331834741D}"/>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39131" b="20454"/>
        <a:stretch/>
      </xdr:blipFill>
      <xdr:spPr bwMode="auto">
        <a:xfrm>
          <a:off x="19050" y="38928675"/>
          <a:ext cx="3617595" cy="108077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57150</xdr:colOff>
      <xdr:row>0</xdr:row>
      <xdr:rowOff>47625</xdr:rowOff>
    </xdr:from>
    <xdr:to>
      <xdr:col>13</xdr:col>
      <xdr:colOff>47625</xdr:colOff>
      <xdr:row>12</xdr:row>
      <xdr:rowOff>123825</xdr:rowOff>
    </xdr:to>
    <xdr:sp macro="" textlink="">
      <xdr:nvSpPr>
        <xdr:cNvPr id="2" name="TextBox 1">
          <a:extLst>
            <a:ext uri="{FF2B5EF4-FFF2-40B4-BE49-F238E27FC236}">
              <a16:creationId xmlns:a16="http://schemas.microsoft.com/office/drawing/2014/main" id="{8F09AFC2-E699-5FAD-F537-E70583B889E3}"/>
            </a:ext>
          </a:extLst>
        </xdr:cNvPr>
        <xdr:cNvSpPr txBox="1"/>
      </xdr:nvSpPr>
      <xdr:spPr>
        <a:xfrm>
          <a:off x="4267200" y="47625"/>
          <a:ext cx="6086475" cy="2867025"/>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InputHazard Tab</a:t>
          </a:r>
        </a:p>
        <a:p>
          <a:r>
            <a:rPr lang="en-US" sz="1100"/>
            <a:t>1.  Start on the “InputHazards” tab.</a:t>
          </a:r>
        </a:p>
        <a:p>
          <a:r>
            <a:rPr lang="en-US" sz="1100"/>
            <a:t>  </a:t>
          </a:r>
        </a:p>
        <a:p>
          <a:r>
            <a:rPr lang="en-US" sz="1100"/>
            <a:t>2.  Select 3-5 hazards from your risk assessment. </a:t>
          </a:r>
        </a:p>
        <a:p>
          <a:endParaRPr lang="en-US" sz="1100"/>
        </a:p>
        <a:p>
          <a:r>
            <a:rPr lang="en-US" sz="1100"/>
            <a:t>3.  In Column A, replace the generic “Hazard” by typing in your selected hazard(s).  </a:t>
          </a:r>
        </a:p>
        <a:p>
          <a:endParaRPr lang="en-US" sz="1100"/>
        </a:p>
        <a:p>
          <a:r>
            <a:rPr lang="en-US" sz="1100"/>
            <a:t>4.  In Column B, input your relative risk for the corresponding hazard (this should be a percentage).  The relative risk is calculated in your risk assessment results.  </a:t>
          </a:r>
        </a:p>
        <a:p>
          <a:endParaRPr lang="en-US" sz="1100"/>
        </a:p>
        <a:p>
          <a:r>
            <a:rPr lang="en-US" sz="1100"/>
            <a:t>5.  These hazards and relative risk numbers will be carried automatically to the other worksheets in the tool.  </a:t>
          </a:r>
        </a:p>
        <a:p>
          <a:endParaRPr lang="en-US" sz="1100"/>
        </a:p>
        <a:p>
          <a:r>
            <a:rPr lang="en-US" sz="1100"/>
            <a:t>6.  If you choose fewer than 5 hazards, you will just ignore those lines and those Hazard sheets.</a:t>
          </a:r>
        </a:p>
        <a:p>
          <a:endParaRPr lang="en-US" sz="1100"/>
        </a:p>
        <a:p>
          <a:r>
            <a:rPr lang="en-US" sz="1100"/>
            <a:t>7.  Move to the next InputCounties tab.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571500</xdr:colOff>
      <xdr:row>2</xdr:row>
      <xdr:rowOff>28575</xdr:rowOff>
    </xdr:from>
    <xdr:to>
      <xdr:col>48</xdr:col>
      <xdr:colOff>0</xdr:colOff>
      <xdr:row>30</xdr:row>
      <xdr:rowOff>9525</xdr:rowOff>
    </xdr:to>
    <xdr:sp macro="" textlink="">
      <xdr:nvSpPr>
        <xdr:cNvPr id="2" name="TextBox 1">
          <a:extLst>
            <a:ext uri="{FF2B5EF4-FFF2-40B4-BE49-F238E27FC236}">
              <a16:creationId xmlns:a16="http://schemas.microsoft.com/office/drawing/2014/main" id="{F3AB0223-2070-E58B-8023-12366752CE2E}"/>
            </a:ext>
          </a:extLst>
        </xdr:cNvPr>
        <xdr:cNvSpPr txBox="1"/>
      </xdr:nvSpPr>
      <xdr:spPr>
        <a:xfrm>
          <a:off x="2809875" y="28575"/>
          <a:ext cx="5819775" cy="5581650"/>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InputCounties Tab</a:t>
          </a:r>
        </a:p>
        <a:p>
          <a:r>
            <a:rPr lang="en-US" sz="1100"/>
            <a:t>1.  Click the dropdown arrow to the right of the “Select Counties From the Filter” cell.  </a:t>
          </a:r>
        </a:p>
        <a:p>
          <a:r>
            <a:rPr lang="en-US" sz="1100"/>
            <a:t> </a:t>
          </a:r>
        </a:p>
        <a:p>
          <a:endParaRPr lang="en-US" sz="1100"/>
        </a:p>
        <a:p>
          <a:endParaRPr lang="en-US" sz="1100"/>
        </a:p>
        <a:p>
          <a:endParaRPr lang="en-US" sz="1100"/>
        </a:p>
        <a:p>
          <a:r>
            <a:rPr lang="en-US" sz="1100"/>
            <a:t>2.  Select/deselect the county or counties that are part of your normal catchment area by adding or removing a check next to the county.  Use your best judgment as patient catchment areas do not align precisely with county boundaries. Please note:  most of the pivot table has been hidden from view to simplify the use of this tool and to prevent data corruption.</a:t>
          </a:r>
        </a:p>
        <a:p>
          <a:endParaRPr lang="en-US" sz="1100"/>
        </a:p>
        <a:p>
          <a:r>
            <a:rPr lang="en-US" sz="1100"/>
            <a:t>3.  For each county you select, the percentage of </a:t>
          </a:r>
        </a:p>
        <a:p>
          <a:r>
            <a:rPr lang="en-US" sz="1100"/>
            <a:t>individuals who fit specific health equity </a:t>
          </a:r>
        </a:p>
        <a:p>
          <a:r>
            <a:rPr lang="en-US" sz="1100"/>
            <a:t>characteristics will be automatically calculated </a:t>
          </a:r>
        </a:p>
        <a:p>
          <a:r>
            <a:rPr lang="en-US" sz="1100"/>
            <a:t>and populated into the worksheet.</a:t>
          </a:r>
        </a:p>
        <a:p>
          <a:endParaRPr lang="en-US" sz="1100"/>
        </a:p>
        <a:p>
          <a:r>
            <a:rPr lang="en-US" sz="1100"/>
            <a:t>4.  Move to the Hazard 1 Tab.  </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xdr:txBody>
    </xdr:sp>
    <xdr:clientData/>
  </xdr:twoCellAnchor>
  <xdr:twoCellAnchor editAs="oneCell">
    <xdr:from>
      <xdr:col>38</xdr:col>
      <xdr:colOff>409575</xdr:colOff>
      <xdr:row>4</xdr:row>
      <xdr:rowOff>28575</xdr:rowOff>
    </xdr:from>
    <xdr:to>
      <xdr:col>45</xdr:col>
      <xdr:colOff>381000</xdr:colOff>
      <xdr:row>7</xdr:row>
      <xdr:rowOff>45573</xdr:rowOff>
    </xdr:to>
    <xdr:pic>
      <xdr:nvPicPr>
        <xdr:cNvPr id="3" name="Picture 2">
          <a:extLst>
            <a:ext uri="{FF2B5EF4-FFF2-40B4-BE49-F238E27FC236}">
              <a16:creationId xmlns:a16="http://schemas.microsoft.com/office/drawing/2014/main" id="{8894CE9D-4121-422C-9377-95F301F5C165}"/>
            </a:ext>
          </a:extLst>
        </xdr:cNvPr>
        <xdr:cNvPicPr>
          <a:picLocks noChangeAspect="1"/>
        </xdr:cNvPicPr>
      </xdr:nvPicPr>
      <xdr:blipFill>
        <a:blip xmlns:r="http://schemas.openxmlformats.org/officeDocument/2006/relationships" r:embed="rId1"/>
        <a:stretch>
          <a:fillRect/>
        </a:stretch>
      </xdr:blipFill>
      <xdr:spPr>
        <a:xfrm>
          <a:off x="3228975" y="428625"/>
          <a:ext cx="4038600" cy="617073"/>
        </a:xfrm>
        <a:prstGeom prst="rect">
          <a:avLst/>
        </a:prstGeom>
      </xdr:spPr>
    </xdr:pic>
    <xdr:clientData/>
  </xdr:twoCellAnchor>
  <xdr:twoCellAnchor>
    <xdr:from>
      <xdr:col>44</xdr:col>
      <xdr:colOff>390525</xdr:colOff>
      <xdr:row>5</xdr:row>
      <xdr:rowOff>19050</xdr:rowOff>
    </xdr:from>
    <xdr:to>
      <xdr:col>45</xdr:col>
      <xdr:colOff>189865</xdr:colOff>
      <xdr:row>6</xdr:row>
      <xdr:rowOff>145415</xdr:rowOff>
    </xdr:to>
    <xdr:sp macro="" textlink="">
      <xdr:nvSpPr>
        <xdr:cNvPr id="4" name="Rectangle 3">
          <a:extLst>
            <a:ext uri="{FF2B5EF4-FFF2-40B4-BE49-F238E27FC236}">
              <a16:creationId xmlns:a16="http://schemas.microsoft.com/office/drawing/2014/main" id="{8F356FA1-AE24-4C82-B3AC-406308EA86D6}"/>
            </a:ext>
          </a:extLst>
        </xdr:cNvPr>
        <xdr:cNvSpPr/>
      </xdr:nvSpPr>
      <xdr:spPr>
        <a:xfrm>
          <a:off x="6696075" y="619125"/>
          <a:ext cx="380365" cy="32639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43</xdr:col>
      <xdr:colOff>266700</xdr:colOff>
      <xdr:row>11</xdr:row>
      <xdr:rowOff>161925</xdr:rowOff>
    </xdr:from>
    <xdr:to>
      <xdr:col>47</xdr:col>
      <xdr:colOff>205105</xdr:colOff>
      <xdr:row>28</xdr:row>
      <xdr:rowOff>147320</xdr:rowOff>
    </xdr:to>
    <xdr:pic>
      <xdr:nvPicPr>
        <xdr:cNvPr id="5" name="Picture 4" descr="Graphical user interface, application&#10;&#10;Description automatically generated">
          <a:extLst>
            <a:ext uri="{FF2B5EF4-FFF2-40B4-BE49-F238E27FC236}">
              <a16:creationId xmlns:a16="http://schemas.microsoft.com/office/drawing/2014/main" id="{9CF95FB9-0B6D-4730-8C1E-D3927EB7EA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91225" y="1962150"/>
          <a:ext cx="2262505" cy="3385820"/>
        </a:xfrm>
        <a:prstGeom prst="rect">
          <a:avLst/>
        </a:prstGeom>
      </xdr:spPr>
    </xdr:pic>
    <xdr:clientData/>
  </xdr:twoCellAnchor>
  <xdr:twoCellAnchor>
    <xdr:from>
      <xdr:col>44</xdr:col>
      <xdr:colOff>66675</xdr:colOff>
      <xdr:row>19</xdr:row>
      <xdr:rowOff>133350</xdr:rowOff>
    </xdr:from>
    <xdr:to>
      <xdr:col>44</xdr:col>
      <xdr:colOff>302260</xdr:colOff>
      <xdr:row>27</xdr:row>
      <xdr:rowOff>2540</xdr:rowOff>
    </xdr:to>
    <xdr:sp macro="" textlink="">
      <xdr:nvSpPr>
        <xdr:cNvPr id="6" name="Rectangle 5">
          <a:extLst>
            <a:ext uri="{FF2B5EF4-FFF2-40B4-BE49-F238E27FC236}">
              <a16:creationId xmlns:a16="http://schemas.microsoft.com/office/drawing/2014/main" id="{85E792C8-0A6C-4D1F-AC68-82D616EFE496}"/>
            </a:ext>
          </a:extLst>
        </xdr:cNvPr>
        <xdr:cNvSpPr/>
      </xdr:nvSpPr>
      <xdr:spPr>
        <a:xfrm>
          <a:off x="6372225" y="3533775"/>
          <a:ext cx="235585" cy="146939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19050</xdr:colOff>
      <xdr:row>0</xdr:row>
      <xdr:rowOff>47623</xdr:rowOff>
    </xdr:from>
    <xdr:to>
      <xdr:col>20</xdr:col>
      <xdr:colOff>600075</xdr:colOff>
      <xdr:row>120</xdr:row>
      <xdr:rowOff>104774</xdr:rowOff>
    </xdr:to>
    <xdr:grpSp>
      <xdr:nvGrpSpPr>
        <xdr:cNvPr id="22" name="Group 21">
          <a:extLst>
            <a:ext uri="{FF2B5EF4-FFF2-40B4-BE49-F238E27FC236}">
              <a16:creationId xmlns:a16="http://schemas.microsoft.com/office/drawing/2014/main" id="{84727DDB-65FC-FE3C-2598-163EA5DC6958}"/>
            </a:ext>
          </a:extLst>
        </xdr:cNvPr>
        <xdr:cNvGrpSpPr/>
      </xdr:nvGrpSpPr>
      <xdr:grpSpPr>
        <a:xfrm>
          <a:off x="14668500" y="47623"/>
          <a:ext cx="6067425" cy="24498301"/>
          <a:chOff x="13966371" y="47623"/>
          <a:chExt cx="6091918" cy="24454758"/>
        </a:xfrm>
      </xdr:grpSpPr>
      <xdr:sp macro="" textlink="">
        <xdr:nvSpPr>
          <xdr:cNvPr id="2" name="TextBox 1">
            <a:extLst>
              <a:ext uri="{FF2B5EF4-FFF2-40B4-BE49-F238E27FC236}">
                <a16:creationId xmlns:a16="http://schemas.microsoft.com/office/drawing/2014/main" id="{67BA0E29-743C-D872-9BB2-AEE3B5037C37}"/>
              </a:ext>
            </a:extLst>
          </xdr:cNvPr>
          <xdr:cNvSpPr txBox="1"/>
        </xdr:nvSpPr>
        <xdr:spPr>
          <a:xfrm>
            <a:off x="13966371" y="47623"/>
            <a:ext cx="6091918" cy="24454758"/>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Hazard Tabs</a:t>
            </a:r>
          </a:p>
          <a:p>
            <a:r>
              <a:rPr lang="en-US" sz="1100"/>
              <a:t>1.  Each Hazard tab has been populated with the hazard (cell B2) and relative risk (cell E2) from the InputHazard tab and with population data based on the InputCounties tab (Columns C and D).   </a:t>
            </a:r>
          </a:p>
          <a:p>
            <a:endParaRPr lang="en-US" sz="1100"/>
          </a:p>
          <a:p>
            <a:r>
              <a:rPr lang="en-US" sz="1100"/>
              <a:t>2.  Population data from the InputCounties tab appears in Columns C (as a percentage) and D (as a number) of the total population of the selected counties.  Do not edit or replace this information.</a:t>
            </a:r>
          </a:p>
          <a:p>
            <a:endParaRPr lang="en-US" sz="1100"/>
          </a:p>
          <a:p>
            <a:r>
              <a:rPr lang="en-US" sz="1100"/>
              <a:t>3.  The next four columns will require manual input, by using the dropdown arrows next to each cell. Each dropdown provides a list of five options. Users should use their team’s best judgment to select the answer that best fits the prompt questions for that specific health equity consideration characteristic. </a:t>
            </a:r>
          </a:p>
          <a:p>
            <a:endParaRPr lang="en-US" sz="1100"/>
          </a:p>
          <a:p>
            <a:r>
              <a:rPr lang="en-US" sz="1100" b="1" i="1"/>
              <a:t>Column E: Estimated impact  </a:t>
            </a:r>
          </a:p>
          <a:p>
            <a:r>
              <a:rPr lang="en-US" sz="1100"/>
              <a:t>4.  Assess “what impact would incoming patients from the </a:t>
            </a:r>
          </a:p>
          <a:p>
            <a:r>
              <a:rPr lang="en-US" sz="1100"/>
              <a:t>identified groups have on our ability to respond to the</a:t>
            </a:r>
          </a:p>
          <a:p>
            <a:r>
              <a:rPr lang="en-US" sz="1100"/>
              <a:t>specific hazard?”</a:t>
            </a:r>
          </a:p>
          <a:p>
            <a:endParaRPr lang="en-US" sz="1100"/>
          </a:p>
          <a:p>
            <a:r>
              <a:rPr lang="en-US" sz="1100"/>
              <a:t>This can be thought of as what percentage of the population</a:t>
            </a:r>
          </a:p>
          <a:p>
            <a:r>
              <a:rPr lang="en-US" sz="1100"/>
              <a:t>of the identified group will likely seek medical care or need</a:t>
            </a:r>
          </a:p>
          <a:p>
            <a:r>
              <a:rPr lang="en-US" sz="1100"/>
              <a:t>medical treatment or support from your facility or</a:t>
            </a:r>
          </a:p>
          <a:p>
            <a:r>
              <a:rPr lang="en-US" sz="1100"/>
              <a:t>organization because of the hazard event.</a:t>
            </a:r>
          </a:p>
          <a:p>
            <a:endParaRPr lang="en-US" sz="1100"/>
          </a:p>
          <a:p>
            <a:r>
              <a:rPr lang="en-US" sz="1100"/>
              <a:t>For each yellow cell in Column E, click the dropdown arrow </a:t>
            </a:r>
          </a:p>
          <a:p>
            <a:r>
              <a:rPr lang="en-US" sz="1100"/>
              <a:t>and enter the expected impact: </a:t>
            </a:r>
          </a:p>
          <a:p>
            <a:r>
              <a:rPr lang="en-US" sz="1100"/>
              <a:t>    -  No impact</a:t>
            </a:r>
          </a:p>
          <a:p>
            <a:r>
              <a:rPr lang="en-US" sz="1100"/>
              <a:t>    -  Low impact</a:t>
            </a:r>
          </a:p>
          <a:p>
            <a:r>
              <a:rPr lang="en-US" sz="1100"/>
              <a:t>    -  Moderate impact</a:t>
            </a:r>
          </a:p>
          <a:p>
            <a:r>
              <a:rPr lang="en-US" sz="1100"/>
              <a:t>    -  High impact </a:t>
            </a:r>
          </a:p>
          <a:p>
            <a:r>
              <a:rPr lang="en-US" sz="1100"/>
              <a:t>    -  Very High impact  </a:t>
            </a:r>
          </a:p>
          <a:p>
            <a:endParaRPr lang="en-US" sz="1100"/>
          </a:p>
          <a:p>
            <a:endParaRPr lang="en-US" sz="1100"/>
          </a:p>
          <a:p>
            <a:endParaRPr lang="en-US" sz="1100"/>
          </a:p>
          <a:p>
            <a:endParaRPr lang="en-US" sz="1100"/>
          </a:p>
          <a:p>
            <a:endParaRPr lang="en-US" sz="1100"/>
          </a:p>
          <a:p>
            <a:endParaRPr lang="en-US" sz="1100"/>
          </a:p>
          <a:p>
            <a:endParaRPr lang="en-US" sz="1100"/>
          </a:p>
          <a:p>
            <a:r>
              <a:rPr lang="en-US" sz="1100" b="1" i="1"/>
              <a:t>Columns F, G, and H: Mitigation </a:t>
            </a:r>
          </a:p>
          <a:p>
            <a:r>
              <a:rPr lang="en-US" sz="1100"/>
              <a:t>Assess your mitigation efforts (Columns F, G, and H).  These columns relate mitigation efforts that your organization and/or community have enacted to reduce the impact of the hazard on the selected population.</a:t>
            </a:r>
          </a:p>
          <a:p>
            <a:endParaRPr lang="en-US" sz="1100"/>
          </a:p>
          <a:p>
            <a:r>
              <a:rPr lang="en-US" sz="1100" b="1" u="sng"/>
              <a:t>Column F: Resources</a:t>
            </a:r>
          </a:p>
          <a:p>
            <a:r>
              <a:rPr lang="en-US" sz="1100"/>
              <a:t>5.  Answer “How confident are you that your organization</a:t>
            </a:r>
          </a:p>
          <a:p>
            <a:r>
              <a:rPr lang="en-US" sz="1100"/>
              <a:t>has the resources to manage the estimated impact (from </a:t>
            </a:r>
          </a:p>
          <a:p>
            <a:r>
              <a:rPr lang="en-US" sz="1100"/>
              <a:t>Column E)?”</a:t>
            </a:r>
          </a:p>
          <a:p>
            <a:endParaRPr lang="en-US" sz="1100"/>
          </a:p>
          <a:p>
            <a:r>
              <a:rPr lang="en-US" sz="1100"/>
              <a:t>Resources include, but are not necessarily limited to, how</a:t>
            </a:r>
          </a:p>
          <a:p>
            <a:r>
              <a:rPr lang="en-US" sz="1100"/>
              <a:t>much planning the user’s facility or organization has done</a:t>
            </a:r>
          </a:p>
          <a:p>
            <a:r>
              <a:rPr lang="en-US" sz="1100"/>
              <a:t>to prepare, the types and quantities of supplies on hand, </a:t>
            </a:r>
          </a:p>
          <a:p>
            <a:r>
              <a:rPr lang="en-US" sz="1100"/>
              <a:t>staff availability, and MOUs to obtain supplies and/or staff</a:t>
            </a:r>
          </a:p>
          <a:p>
            <a:r>
              <a:rPr lang="en-US" sz="1100"/>
              <a:t>support. These answers may or may not vary depending</a:t>
            </a:r>
          </a:p>
          <a:p>
            <a:r>
              <a:rPr lang="en-US" sz="1100"/>
              <a:t>on the equity consideration characteristic being assessed.</a:t>
            </a:r>
          </a:p>
          <a:p>
            <a:endParaRPr lang="en-US" sz="1100"/>
          </a:p>
          <a:p>
            <a:r>
              <a:rPr lang="en-US" sz="1100"/>
              <a:t>6.  For each yellow cell in Column F, click the dropdown </a:t>
            </a:r>
          </a:p>
          <a:p>
            <a:r>
              <a:rPr lang="en-US" sz="1100"/>
              <a:t>arrow and enter the expected impact: </a:t>
            </a:r>
          </a:p>
          <a:p>
            <a:r>
              <a:rPr lang="en-US" sz="1100"/>
              <a:t>    -  Not at all confident</a:t>
            </a:r>
          </a:p>
          <a:p>
            <a:r>
              <a:rPr lang="en-US" sz="1100"/>
              <a:t>    -  Slightly confident</a:t>
            </a:r>
          </a:p>
          <a:p>
            <a:r>
              <a:rPr lang="en-US" sz="1100"/>
              <a:t>    -  Somewhat confident </a:t>
            </a:r>
          </a:p>
          <a:p>
            <a:r>
              <a:rPr lang="en-US" sz="1100"/>
              <a:t>    -  Fairly confident </a:t>
            </a:r>
          </a:p>
          <a:p>
            <a:r>
              <a:rPr lang="en-US" sz="1100"/>
              <a:t>    -  Completely confident</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b="1" u="sng"/>
              <a:t>Column G: Responsibility</a:t>
            </a:r>
          </a:p>
          <a:p>
            <a:r>
              <a:rPr lang="en-US" sz="1100"/>
              <a:t>7.  Determine “How responsible is your organization to address the needs of the identified group before an emergency?”</a:t>
            </a:r>
          </a:p>
          <a:p>
            <a:endParaRPr lang="en-US" sz="1100"/>
          </a:p>
          <a:p>
            <a:r>
              <a:rPr lang="en-US" sz="1100"/>
              <a:t>Answering this question requires some upstream thinking.</a:t>
            </a:r>
          </a:p>
          <a:p>
            <a:r>
              <a:rPr lang="en-US" sz="1100"/>
              <a:t>For example, a Federally Qualified Health Center (FQHC)</a:t>
            </a:r>
          </a:p>
          <a:p>
            <a:r>
              <a:rPr lang="en-US" sz="1100"/>
              <a:t>may have more responsibility to address the needs of</a:t>
            </a:r>
          </a:p>
          <a:p>
            <a:r>
              <a:rPr lang="en-US" sz="1100"/>
              <a:t>those below the 150% poverty rate before a hazard event</a:t>
            </a:r>
          </a:p>
          <a:p>
            <a:r>
              <a:rPr lang="en-US" sz="1100"/>
              <a:t>than a private, Continuing Care Retirement Community</a:t>
            </a:r>
          </a:p>
          <a:p>
            <a:r>
              <a:rPr lang="en-US" sz="1100"/>
              <a:t>(CCRC). This example may be extreme but is used for</a:t>
            </a:r>
          </a:p>
          <a:p>
            <a:r>
              <a:rPr lang="en-US" sz="1100"/>
              <a:t>illustrative purposes. These answers may or may not vary</a:t>
            </a:r>
          </a:p>
          <a:p>
            <a:r>
              <a:rPr lang="en-US" sz="1100"/>
              <a:t>depending on the equity consideration characteristic being</a:t>
            </a:r>
          </a:p>
          <a:p>
            <a:r>
              <a:rPr lang="en-US" sz="1100"/>
              <a:t>assessed.</a:t>
            </a:r>
          </a:p>
          <a:p>
            <a:endParaRPr lang="en-US" sz="1100"/>
          </a:p>
          <a:p>
            <a:r>
              <a:rPr lang="en-US" sz="1100"/>
              <a:t>8.  For each yellow cell in Column G, click the dropdown</a:t>
            </a:r>
          </a:p>
          <a:p>
            <a:r>
              <a:rPr lang="en-US" sz="1100"/>
              <a:t>arrow and enter the expected impact: </a:t>
            </a:r>
          </a:p>
          <a:p>
            <a:r>
              <a:rPr lang="en-US" sz="1100"/>
              <a:t>    -  Not at all responsible</a:t>
            </a:r>
          </a:p>
          <a:p>
            <a:r>
              <a:rPr lang="en-US" sz="1100"/>
              <a:t>    -  Slightly responsible</a:t>
            </a:r>
          </a:p>
          <a:p>
            <a:r>
              <a:rPr lang="en-US" sz="1100"/>
              <a:t>    -  Somewhat responsible</a:t>
            </a:r>
          </a:p>
          <a:p>
            <a:r>
              <a:rPr lang="en-US" sz="1100"/>
              <a:t>    -  Fairly responsible</a:t>
            </a:r>
          </a:p>
          <a:p>
            <a:r>
              <a:rPr lang="en-US" sz="1100"/>
              <a:t>    -  Completely responsible</a:t>
            </a:r>
          </a:p>
          <a:p>
            <a:endParaRPr lang="en-US" sz="1100"/>
          </a:p>
          <a:p>
            <a:endParaRPr lang="en-US" sz="1100"/>
          </a:p>
          <a:p>
            <a:endParaRPr lang="en-US" sz="1100"/>
          </a:p>
          <a:p>
            <a:endParaRPr lang="en-US" sz="1100"/>
          </a:p>
          <a:p>
            <a:endParaRPr lang="en-US" sz="1100"/>
          </a:p>
          <a:p>
            <a:endParaRPr lang="en-US" sz="1100"/>
          </a:p>
          <a:p>
            <a:endParaRPr lang="en-US" sz="1100"/>
          </a:p>
          <a:p>
            <a:r>
              <a:rPr lang="en-US" sz="1100"/>
              <a:t>*Please note that the relative percentages are reversed in the calculations to reflect an increased equity burden with increasing responsibility.</a:t>
            </a:r>
          </a:p>
          <a:p>
            <a:endParaRPr lang="en-US" sz="1100"/>
          </a:p>
          <a:p>
            <a:r>
              <a:rPr lang="en-US" sz="1100" b="1" u="sng"/>
              <a:t>Column H: Community Connections</a:t>
            </a:r>
          </a:p>
          <a:p>
            <a:r>
              <a:rPr lang="en-US" sz="1100"/>
              <a:t>9.  Answer “How confident are you that your organization can</a:t>
            </a:r>
          </a:p>
          <a:p>
            <a:r>
              <a:rPr lang="en-US" sz="1100"/>
              <a:t>connect these patients to the right community resources?”</a:t>
            </a:r>
          </a:p>
          <a:p>
            <a:endParaRPr lang="en-US" sz="1100"/>
          </a:p>
          <a:p>
            <a:r>
              <a:rPr lang="en-US" sz="1100"/>
              <a:t>These community resources include agencies that serve,</a:t>
            </a:r>
          </a:p>
          <a:p>
            <a:r>
              <a:rPr lang="en-US" sz="1100"/>
              <a:t>support, and work with the identified group from each row. </a:t>
            </a:r>
          </a:p>
          <a:p>
            <a:r>
              <a:rPr lang="en-US" sz="1100"/>
              <a:t>These answers may or may not vary depending on the equity</a:t>
            </a:r>
          </a:p>
          <a:p>
            <a:r>
              <a:rPr lang="en-US" sz="1100"/>
              <a:t>consideration characteristic being assessed.</a:t>
            </a:r>
          </a:p>
          <a:p>
            <a:endParaRPr lang="en-US" sz="1100"/>
          </a:p>
          <a:p>
            <a:r>
              <a:rPr lang="en-US" sz="1100"/>
              <a:t>10.  For each yellow cell in Column H, click the dropdown</a:t>
            </a:r>
          </a:p>
          <a:p>
            <a:r>
              <a:rPr lang="en-US" sz="1100"/>
              <a:t>arrow and enter the expected impact: </a:t>
            </a:r>
          </a:p>
          <a:p>
            <a:r>
              <a:rPr lang="en-US" sz="1100"/>
              <a:t>    -  Not at all confident</a:t>
            </a:r>
          </a:p>
          <a:p>
            <a:r>
              <a:rPr lang="en-US" sz="1100"/>
              <a:t>    -  Slightly confident</a:t>
            </a:r>
          </a:p>
          <a:p>
            <a:r>
              <a:rPr lang="en-US" sz="1100"/>
              <a:t>    -  Somewhat confident </a:t>
            </a:r>
          </a:p>
          <a:p>
            <a:r>
              <a:rPr lang="en-US" sz="1100"/>
              <a:t>    -  Fairly confident </a:t>
            </a:r>
          </a:p>
          <a:p>
            <a:r>
              <a:rPr lang="en-US" sz="1100"/>
              <a:t>    -  Completely confident</a:t>
            </a:r>
          </a:p>
          <a:p>
            <a:endParaRPr lang="en-US" sz="1100"/>
          </a:p>
          <a:p>
            <a:endParaRPr lang="en-US" sz="1100"/>
          </a:p>
          <a:p>
            <a:endParaRPr lang="en-US" sz="1100"/>
          </a:p>
          <a:p>
            <a:endParaRPr lang="en-US" sz="1100"/>
          </a:p>
          <a:p>
            <a:endParaRPr lang="en-US" sz="1100"/>
          </a:p>
          <a:p>
            <a:endParaRPr lang="en-US" sz="1100"/>
          </a:p>
          <a:p>
            <a:endParaRPr lang="en-US" sz="1100"/>
          </a:p>
          <a:p>
            <a:endParaRPr lang="en-US" sz="1100" b="1" u="sng"/>
          </a:p>
          <a:p>
            <a:r>
              <a:rPr lang="en-US" sz="1100" b="1" u="sng"/>
              <a:t>Column I: Severity</a:t>
            </a:r>
          </a:p>
          <a:p>
            <a:r>
              <a:rPr lang="en-US" sz="1100"/>
              <a:t>Severity is automatically calculated and is a function of the population size (Column C) of the specific equity consideration as a percentage, the estimated impact (Column E), and mitigation efforts (Columns F, G, and H). </a:t>
            </a:r>
          </a:p>
          <a:p>
            <a:endParaRPr lang="en-US" sz="1100"/>
          </a:p>
          <a:p>
            <a:r>
              <a:rPr lang="en-US" sz="1100"/>
              <a:t>Column J: Relative Health Equity Risk</a:t>
            </a:r>
          </a:p>
          <a:p>
            <a:r>
              <a:rPr lang="en-US" sz="1100"/>
              <a:t>Relative Health Equity Risk is automatically calculated and is a function of the Relative Risk score from the InputHazards worksheet. </a:t>
            </a:r>
          </a:p>
          <a:p>
            <a:endParaRPr lang="en-US" sz="1100"/>
          </a:p>
          <a:p>
            <a:r>
              <a:rPr lang="en-US" sz="1100"/>
              <a:t>11.  Review your results in Column J.  The higher percentage, the more likely these populations are likely to experience negative health outcomes during a potential hazard and the more effort should be put into preparedness plans in advance of, and recovery support after, an event.</a:t>
            </a:r>
          </a:p>
          <a:p>
            <a:endParaRPr lang="en-US" sz="1100"/>
          </a:p>
          <a:p>
            <a:r>
              <a:rPr lang="en-US" sz="1100"/>
              <a:t>It is important to note that: the final results are intended to show *RELATIVE* risk only; the calculated percentages are meaningless independently and only show whether an identified health equity characteristic is at higher or lower risk than another. The percentage does not indicate the degree of risk.  </a:t>
            </a:r>
          </a:p>
          <a:p>
            <a:endParaRPr lang="en-US" sz="1100"/>
          </a:p>
          <a:p>
            <a:r>
              <a:rPr lang="en-US" sz="1100"/>
              <a:t>12.  After finishing the Hazard 1 Worksheet, move</a:t>
            </a:r>
            <a:r>
              <a:rPr lang="en-US" sz="1100" baseline="0"/>
              <a:t> to the Hazard 2 Worksheet</a:t>
            </a:r>
            <a:r>
              <a:rPr lang="en-US" sz="1100"/>
              <a:t>.  </a:t>
            </a:r>
          </a:p>
        </xdr:txBody>
      </xdr:sp>
      <xdr:grpSp>
        <xdr:nvGrpSpPr>
          <xdr:cNvPr id="3" name="Group 2">
            <a:extLst>
              <a:ext uri="{FF2B5EF4-FFF2-40B4-BE49-F238E27FC236}">
                <a16:creationId xmlns:a16="http://schemas.microsoft.com/office/drawing/2014/main" id="{CBD7D0F9-4925-4AE1-B8E2-2C9C722C33FC}"/>
              </a:ext>
            </a:extLst>
          </xdr:cNvPr>
          <xdr:cNvGrpSpPr/>
        </xdr:nvGrpSpPr>
        <xdr:grpSpPr>
          <a:xfrm>
            <a:off x="17716500" y="2166257"/>
            <a:ext cx="2021114" cy="2752725"/>
            <a:chOff x="3829050" y="21802725"/>
            <a:chExt cx="2012950" cy="2743200"/>
          </a:xfrm>
        </xdr:grpSpPr>
        <xdr:pic>
          <xdr:nvPicPr>
            <xdr:cNvPr id="4" name="Picture 3" descr="Graphical user interface, application, table, Excel&#10;&#10;Description automatically generated">
              <a:extLst>
                <a:ext uri="{FF2B5EF4-FFF2-40B4-BE49-F238E27FC236}">
                  <a16:creationId xmlns:a16="http://schemas.microsoft.com/office/drawing/2014/main" id="{6006A014-A6CA-F80C-5278-90FBE39CD1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854" t="40181" r="40751" b="11115"/>
            <a:stretch/>
          </xdr:blipFill>
          <xdr:spPr bwMode="auto">
            <a:xfrm>
              <a:off x="3829050" y="21802725"/>
              <a:ext cx="2012950" cy="2743200"/>
            </a:xfrm>
            <a:prstGeom prst="rect">
              <a:avLst/>
            </a:prstGeom>
            <a:ln>
              <a:noFill/>
            </a:ln>
            <a:extLst>
              <a:ext uri="{53640926-AAD7-44D8-BBD7-CCE9431645EC}">
                <a14:shadowObscured xmlns:a14="http://schemas.microsoft.com/office/drawing/2010/main"/>
              </a:ext>
            </a:extLst>
          </xdr:spPr>
        </xdr:pic>
        <xdr:sp macro="" textlink="">
          <xdr:nvSpPr>
            <xdr:cNvPr id="5" name="Rectangle 4">
              <a:extLst>
                <a:ext uri="{FF2B5EF4-FFF2-40B4-BE49-F238E27FC236}">
                  <a16:creationId xmlns:a16="http://schemas.microsoft.com/office/drawing/2014/main" id="{A6803CBB-CCA5-FA70-A879-60BAA52B936E}"/>
                </a:ext>
              </a:extLst>
            </xdr:cNvPr>
            <xdr:cNvSpPr/>
          </xdr:nvSpPr>
          <xdr:spPr>
            <a:xfrm>
              <a:off x="5591175" y="23498175"/>
              <a:ext cx="224790" cy="2387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6" name="Picture 5">
            <a:extLst>
              <a:ext uri="{FF2B5EF4-FFF2-40B4-BE49-F238E27FC236}">
                <a16:creationId xmlns:a16="http://schemas.microsoft.com/office/drawing/2014/main" id="{1DB54C25-3DF2-492C-96A6-C945B8C7D12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8622" b="20131"/>
          <a:stretch/>
        </xdr:blipFill>
        <xdr:spPr bwMode="auto">
          <a:xfrm>
            <a:off x="14071146" y="4957082"/>
            <a:ext cx="3437675" cy="1020535"/>
          </a:xfrm>
          <a:prstGeom prst="rect">
            <a:avLst/>
          </a:prstGeom>
          <a:noFill/>
          <a:ln>
            <a:noFill/>
          </a:ln>
        </xdr:spPr>
      </xdr:pic>
      <xdr:grpSp>
        <xdr:nvGrpSpPr>
          <xdr:cNvPr id="10" name="Group 9">
            <a:extLst>
              <a:ext uri="{FF2B5EF4-FFF2-40B4-BE49-F238E27FC236}">
                <a16:creationId xmlns:a16="http://schemas.microsoft.com/office/drawing/2014/main" id="{A7AB97CE-F430-4E96-B6C3-279B650A0CC7}"/>
              </a:ext>
            </a:extLst>
          </xdr:cNvPr>
          <xdr:cNvGrpSpPr/>
        </xdr:nvGrpSpPr>
        <xdr:grpSpPr>
          <a:xfrm>
            <a:off x="17792700" y="7154636"/>
            <a:ext cx="1966504" cy="2774496"/>
            <a:chOff x="3771900" y="25974675"/>
            <a:chExt cx="1958340" cy="2743200"/>
          </a:xfrm>
        </xdr:grpSpPr>
        <xdr:pic>
          <xdr:nvPicPr>
            <xdr:cNvPr id="11" name="Picture 10" descr="Graphical user interface, table, Excel&#10;&#10;Description automatically generated">
              <a:extLst>
                <a:ext uri="{FF2B5EF4-FFF2-40B4-BE49-F238E27FC236}">
                  <a16:creationId xmlns:a16="http://schemas.microsoft.com/office/drawing/2014/main" id="{9801249F-119D-8A90-0785-4D9B7643FA4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929" t="39939" r="56250" b="11295"/>
            <a:stretch/>
          </xdr:blipFill>
          <xdr:spPr bwMode="auto">
            <a:xfrm>
              <a:off x="3771900" y="25974675"/>
              <a:ext cx="1958340" cy="2743200"/>
            </a:xfrm>
            <a:prstGeom prst="rect">
              <a:avLst/>
            </a:prstGeom>
            <a:ln>
              <a:noFill/>
            </a:ln>
            <a:extLst>
              <a:ext uri="{53640926-AAD7-44D8-BBD7-CCE9431645EC}">
                <a14:shadowObscured xmlns:a14="http://schemas.microsoft.com/office/drawing/2010/main"/>
              </a:ext>
            </a:extLst>
          </xdr:spPr>
        </xdr:pic>
        <xdr:sp macro="" textlink="">
          <xdr:nvSpPr>
            <xdr:cNvPr id="12" name="Rectangle 11">
              <a:extLst>
                <a:ext uri="{FF2B5EF4-FFF2-40B4-BE49-F238E27FC236}">
                  <a16:creationId xmlns:a16="http://schemas.microsoft.com/office/drawing/2014/main" id="{226B31F8-132D-E5BA-C5B9-56CD5BABA991}"/>
                </a:ext>
              </a:extLst>
            </xdr:cNvPr>
            <xdr:cNvSpPr/>
          </xdr:nvSpPr>
          <xdr:spPr>
            <a:xfrm>
              <a:off x="5572124" y="27717750"/>
              <a:ext cx="158115"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13" name="Picture 12">
            <a:extLst>
              <a:ext uri="{FF2B5EF4-FFF2-40B4-BE49-F238E27FC236}">
                <a16:creationId xmlns:a16="http://schemas.microsoft.com/office/drawing/2014/main" id="{233DC448-C38B-42F9-AEB1-63A728A1C4E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9102" b="20131"/>
          <a:stretch/>
        </xdr:blipFill>
        <xdr:spPr bwMode="auto">
          <a:xfrm>
            <a:off x="14042571" y="10243457"/>
            <a:ext cx="3635829" cy="1085850"/>
          </a:xfrm>
          <a:prstGeom prst="rect">
            <a:avLst/>
          </a:prstGeom>
          <a:noFill/>
          <a:ln>
            <a:noFill/>
          </a:ln>
        </xdr:spPr>
      </xdr:pic>
      <xdr:grpSp>
        <xdr:nvGrpSpPr>
          <xdr:cNvPr id="14" name="Group 13">
            <a:extLst>
              <a:ext uri="{FF2B5EF4-FFF2-40B4-BE49-F238E27FC236}">
                <a16:creationId xmlns:a16="http://schemas.microsoft.com/office/drawing/2014/main" id="{DFE3C9AE-B482-4C39-BD30-E6EBB6319BE5}"/>
              </a:ext>
            </a:extLst>
          </xdr:cNvPr>
          <xdr:cNvGrpSpPr/>
        </xdr:nvGrpSpPr>
        <xdr:grpSpPr>
          <a:xfrm>
            <a:off x="17621250" y="12262757"/>
            <a:ext cx="2145574" cy="2743200"/>
            <a:chOff x="3705225" y="30946725"/>
            <a:chExt cx="2137410" cy="2743200"/>
          </a:xfrm>
        </xdr:grpSpPr>
        <xdr:pic>
          <xdr:nvPicPr>
            <xdr:cNvPr id="15" name="Picture 14" descr="Table, Excel&#10;&#10;Description automatically generated">
              <a:extLst>
                <a:ext uri="{FF2B5EF4-FFF2-40B4-BE49-F238E27FC236}">
                  <a16:creationId xmlns:a16="http://schemas.microsoft.com/office/drawing/2014/main" id="{11092CC8-D240-1847-F8BD-18162D3A017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9724" t="43973" r="38343" b="11125"/>
            <a:stretch/>
          </xdr:blipFill>
          <xdr:spPr bwMode="auto">
            <a:xfrm>
              <a:off x="3705225" y="30946725"/>
              <a:ext cx="2137410" cy="2743200"/>
            </a:xfrm>
            <a:prstGeom prst="rect">
              <a:avLst/>
            </a:prstGeom>
            <a:ln>
              <a:noFill/>
            </a:ln>
            <a:extLst>
              <a:ext uri="{53640926-AAD7-44D8-BBD7-CCE9431645EC}">
                <a14:shadowObscured xmlns:a14="http://schemas.microsoft.com/office/drawing/2010/main"/>
              </a:ext>
            </a:extLst>
          </xdr:spPr>
        </xdr:pic>
        <xdr:sp macro="" textlink="">
          <xdr:nvSpPr>
            <xdr:cNvPr id="16" name="Rectangle 15">
              <a:extLst>
                <a:ext uri="{FF2B5EF4-FFF2-40B4-BE49-F238E27FC236}">
                  <a16:creationId xmlns:a16="http://schemas.microsoft.com/office/drawing/2014/main" id="{1C065ED0-D433-FAC8-C3ED-917D77E707FC}"/>
                </a:ext>
              </a:extLst>
            </xdr:cNvPr>
            <xdr:cNvSpPr/>
          </xdr:nvSpPr>
          <xdr:spPr>
            <a:xfrm>
              <a:off x="5648325" y="32594550"/>
              <a:ext cx="186690"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17" name="Picture 16">
            <a:extLst>
              <a:ext uri="{FF2B5EF4-FFF2-40B4-BE49-F238E27FC236}">
                <a16:creationId xmlns:a16="http://schemas.microsoft.com/office/drawing/2014/main" id="{4F4E43EF-E288-49BB-9510-A61A006739C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02" t="10344" r="38302"/>
          <a:stretch/>
        </xdr:blipFill>
        <xdr:spPr bwMode="auto">
          <a:xfrm>
            <a:off x="14052096" y="15225032"/>
            <a:ext cx="3588204" cy="1073150"/>
          </a:xfrm>
          <a:prstGeom prst="rect">
            <a:avLst/>
          </a:prstGeom>
          <a:noFill/>
          <a:ln>
            <a:noFill/>
          </a:ln>
        </xdr:spPr>
      </xdr:pic>
      <xdr:grpSp>
        <xdr:nvGrpSpPr>
          <xdr:cNvPr id="18" name="Group 17">
            <a:extLst>
              <a:ext uri="{FF2B5EF4-FFF2-40B4-BE49-F238E27FC236}">
                <a16:creationId xmlns:a16="http://schemas.microsoft.com/office/drawing/2014/main" id="{41918ABB-9195-4D48-BEB1-7E75E4E4263E}"/>
              </a:ext>
            </a:extLst>
          </xdr:cNvPr>
          <xdr:cNvGrpSpPr/>
        </xdr:nvGrpSpPr>
        <xdr:grpSpPr>
          <a:xfrm>
            <a:off x="17868899" y="17053831"/>
            <a:ext cx="1993809" cy="2600326"/>
            <a:chOff x="3724275" y="36061650"/>
            <a:chExt cx="2147570" cy="2743200"/>
          </a:xfrm>
        </xdr:grpSpPr>
        <xdr:pic>
          <xdr:nvPicPr>
            <xdr:cNvPr id="19" name="Picture 18" descr="Table&#10;&#10;Description automatically generated">
              <a:extLst>
                <a:ext uri="{FF2B5EF4-FFF2-40B4-BE49-F238E27FC236}">
                  <a16:creationId xmlns:a16="http://schemas.microsoft.com/office/drawing/2014/main" id="{7DDF5A79-A798-06B7-63A4-3AF02C44421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7765" t="44004" r="20169" b="11038"/>
            <a:stretch/>
          </xdr:blipFill>
          <xdr:spPr bwMode="auto">
            <a:xfrm>
              <a:off x="3724275" y="36061650"/>
              <a:ext cx="2147570" cy="2743200"/>
            </a:xfrm>
            <a:prstGeom prst="rect">
              <a:avLst/>
            </a:prstGeom>
            <a:ln>
              <a:noFill/>
            </a:ln>
            <a:extLst>
              <a:ext uri="{53640926-AAD7-44D8-BBD7-CCE9431645EC}">
                <a14:shadowObscured xmlns:a14="http://schemas.microsoft.com/office/drawing/2010/main"/>
              </a:ext>
            </a:extLst>
          </xdr:spPr>
        </xdr:pic>
        <xdr:sp macro="" textlink="">
          <xdr:nvSpPr>
            <xdr:cNvPr id="20" name="Rectangle 19">
              <a:extLst>
                <a:ext uri="{FF2B5EF4-FFF2-40B4-BE49-F238E27FC236}">
                  <a16:creationId xmlns:a16="http://schemas.microsoft.com/office/drawing/2014/main" id="{EF106BC5-C09E-24BB-54FD-200E4C28FEEA}"/>
                </a:ext>
              </a:extLst>
            </xdr:cNvPr>
            <xdr:cNvSpPr/>
          </xdr:nvSpPr>
          <xdr:spPr>
            <a:xfrm>
              <a:off x="5629275" y="37652325"/>
              <a:ext cx="224790" cy="238760"/>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21" name="Picture 20">
            <a:extLst>
              <a:ext uri="{FF2B5EF4-FFF2-40B4-BE49-F238E27FC236}">
                <a16:creationId xmlns:a16="http://schemas.microsoft.com/office/drawing/2014/main" id="{BA9935F5-C343-4EDF-908A-D4857C268AB2}"/>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39131" b="20454"/>
          <a:stretch/>
        </xdr:blipFill>
        <xdr:spPr bwMode="auto">
          <a:xfrm>
            <a:off x="14071146" y="19625582"/>
            <a:ext cx="3633924" cy="108077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0</xdr:row>
      <xdr:rowOff>0</xdr:rowOff>
    </xdr:from>
    <xdr:to>
      <xdr:col>20</xdr:col>
      <xdr:colOff>605518</xdr:colOff>
      <xdr:row>121</xdr:row>
      <xdr:rowOff>13608</xdr:rowOff>
    </xdr:to>
    <xdr:grpSp>
      <xdr:nvGrpSpPr>
        <xdr:cNvPr id="2" name="Group 1">
          <a:extLst>
            <a:ext uri="{FF2B5EF4-FFF2-40B4-BE49-F238E27FC236}">
              <a16:creationId xmlns:a16="http://schemas.microsoft.com/office/drawing/2014/main" id="{FDF5282A-21DA-4B9B-AC5B-023FA02C91B8}"/>
            </a:ext>
          </a:extLst>
        </xdr:cNvPr>
        <xdr:cNvGrpSpPr/>
      </xdr:nvGrpSpPr>
      <xdr:grpSpPr>
        <a:xfrm>
          <a:off x="14649450" y="0"/>
          <a:ext cx="6091918" cy="24645258"/>
          <a:chOff x="13966371" y="47623"/>
          <a:chExt cx="6091918" cy="24454758"/>
        </a:xfrm>
      </xdr:grpSpPr>
      <xdr:sp macro="" textlink="">
        <xdr:nvSpPr>
          <xdr:cNvPr id="3" name="TextBox 2">
            <a:extLst>
              <a:ext uri="{FF2B5EF4-FFF2-40B4-BE49-F238E27FC236}">
                <a16:creationId xmlns:a16="http://schemas.microsoft.com/office/drawing/2014/main" id="{9DA91CD7-1B03-24CB-A390-815A22E85211}"/>
              </a:ext>
            </a:extLst>
          </xdr:cNvPr>
          <xdr:cNvSpPr txBox="1"/>
        </xdr:nvSpPr>
        <xdr:spPr>
          <a:xfrm>
            <a:off x="13966371" y="47623"/>
            <a:ext cx="6091918" cy="24454758"/>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Hazard Tabs</a:t>
            </a:r>
          </a:p>
          <a:p>
            <a:r>
              <a:rPr lang="en-US" sz="1100"/>
              <a:t>1.  Each Hazard tab has been populated with the hazard (cell B2) and relative risk (cell E2) from the InputHazard tab and with population data based on the InputCounties tab (Columns C and D).   </a:t>
            </a:r>
          </a:p>
          <a:p>
            <a:endParaRPr lang="en-US" sz="1100"/>
          </a:p>
          <a:p>
            <a:r>
              <a:rPr lang="en-US" sz="1100"/>
              <a:t>2.  Population data from the InputCounties tab appears in Columns C (as a percentage) and D (as a number) of the total population of the selected counties.  Do not edit or replace this information.</a:t>
            </a:r>
          </a:p>
          <a:p>
            <a:endParaRPr lang="en-US" sz="1100"/>
          </a:p>
          <a:p>
            <a:r>
              <a:rPr lang="en-US" sz="1100"/>
              <a:t>3.  The next four columns will require manual input, by using the dropdown arrows next to each cell. Each dropdown provides a list of five options. Users should use their team’s best judgment to select the answer that best fits the prompt questions for that specific health equity consideration characteristic. </a:t>
            </a:r>
          </a:p>
          <a:p>
            <a:endParaRPr lang="en-US" sz="1100"/>
          </a:p>
          <a:p>
            <a:r>
              <a:rPr lang="en-US" sz="1100" b="1" i="1"/>
              <a:t>Column E: Estimated impact  </a:t>
            </a:r>
          </a:p>
          <a:p>
            <a:r>
              <a:rPr lang="en-US" sz="1100"/>
              <a:t>4.  Assess “what impact would incoming patients from the </a:t>
            </a:r>
          </a:p>
          <a:p>
            <a:r>
              <a:rPr lang="en-US" sz="1100"/>
              <a:t>identified groups have on our ability to respond to the</a:t>
            </a:r>
          </a:p>
          <a:p>
            <a:r>
              <a:rPr lang="en-US" sz="1100"/>
              <a:t>specific hazard?”</a:t>
            </a:r>
          </a:p>
          <a:p>
            <a:endParaRPr lang="en-US" sz="1100"/>
          </a:p>
          <a:p>
            <a:r>
              <a:rPr lang="en-US" sz="1100"/>
              <a:t>This can be thought of as what percentage of the population</a:t>
            </a:r>
          </a:p>
          <a:p>
            <a:r>
              <a:rPr lang="en-US" sz="1100"/>
              <a:t>of the identified group will likely seek medical care or need</a:t>
            </a:r>
          </a:p>
          <a:p>
            <a:r>
              <a:rPr lang="en-US" sz="1100"/>
              <a:t>medical treatment or support from your facility or</a:t>
            </a:r>
          </a:p>
          <a:p>
            <a:r>
              <a:rPr lang="en-US" sz="1100"/>
              <a:t>organization because of the hazard event.</a:t>
            </a:r>
          </a:p>
          <a:p>
            <a:endParaRPr lang="en-US" sz="1100"/>
          </a:p>
          <a:p>
            <a:r>
              <a:rPr lang="en-US" sz="1100"/>
              <a:t>For each yellow cell in Column E, click the dropdown arrow </a:t>
            </a:r>
          </a:p>
          <a:p>
            <a:r>
              <a:rPr lang="en-US" sz="1100"/>
              <a:t>and enter the expected impact: </a:t>
            </a:r>
          </a:p>
          <a:p>
            <a:r>
              <a:rPr lang="en-US" sz="1100"/>
              <a:t>    -  No impact</a:t>
            </a:r>
          </a:p>
          <a:p>
            <a:r>
              <a:rPr lang="en-US" sz="1100"/>
              <a:t>    -  Low impact</a:t>
            </a:r>
          </a:p>
          <a:p>
            <a:r>
              <a:rPr lang="en-US" sz="1100"/>
              <a:t>    -  Moderate impact</a:t>
            </a:r>
          </a:p>
          <a:p>
            <a:r>
              <a:rPr lang="en-US" sz="1100"/>
              <a:t>    -  High impact </a:t>
            </a:r>
          </a:p>
          <a:p>
            <a:r>
              <a:rPr lang="en-US" sz="1100"/>
              <a:t>    -  Very High impact  </a:t>
            </a:r>
          </a:p>
          <a:p>
            <a:endParaRPr lang="en-US" sz="1100"/>
          </a:p>
          <a:p>
            <a:endParaRPr lang="en-US" sz="1100"/>
          </a:p>
          <a:p>
            <a:endParaRPr lang="en-US" sz="1100"/>
          </a:p>
          <a:p>
            <a:endParaRPr lang="en-US" sz="1100"/>
          </a:p>
          <a:p>
            <a:endParaRPr lang="en-US" sz="1100"/>
          </a:p>
          <a:p>
            <a:endParaRPr lang="en-US" sz="1100"/>
          </a:p>
          <a:p>
            <a:endParaRPr lang="en-US" sz="1100"/>
          </a:p>
          <a:p>
            <a:r>
              <a:rPr lang="en-US" sz="1100" b="1" i="1"/>
              <a:t>Columns F, G, and H: Mitigation </a:t>
            </a:r>
          </a:p>
          <a:p>
            <a:r>
              <a:rPr lang="en-US" sz="1100"/>
              <a:t>Assess your mitigation efforts (Columns F, G, and H).  These columns relate mitigation efforts that your organization and/or community have enacted to reduce the impact of the hazard on the selected population.</a:t>
            </a:r>
          </a:p>
          <a:p>
            <a:endParaRPr lang="en-US" sz="1100"/>
          </a:p>
          <a:p>
            <a:r>
              <a:rPr lang="en-US" sz="1100" b="1" u="sng"/>
              <a:t>Column F: Resources</a:t>
            </a:r>
          </a:p>
          <a:p>
            <a:r>
              <a:rPr lang="en-US" sz="1100"/>
              <a:t>5.  Answer “How confident are you that your organization</a:t>
            </a:r>
          </a:p>
          <a:p>
            <a:r>
              <a:rPr lang="en-US" sz="1100"/>
              <a:t>has the resources to manage the estimated impact (from </a:t>
            </a:r>
          </a:p>
          <a:p>
            <a:r>
              <a:rPr lang="en-US" sz="1100"/>
              <a:t>Column E)?”</a:t>
            </a:r>
          </a:p>
          <a:p>
            <a:endParaRPr lang="en-US" sz="1100"/>
          </a:p>
          <a:p>
            <a:r>
              <a:rPr lang="en-US" sz="1100"/>
              <a:t>Resources include, but are not necessarily limited to, how</a:t>
            </a:r>
          </a:p>
          <a:p>
            <a:r>
              <a:rPr lang="en-US" sz="1100"/>
              <a:t>much planning the user’s facility or organization has done</a:t>
            </a:r>
          </a:p>
          <a:p>
            <a:r>
              <a:rPr lang="en-US" sz="1100"/>
              <a:t>to prepare, the types and quantities of supplies on hand, </a:t>
            </a:r>
          </a:p>
          <a:p>
            <a:r>
              <a:rPr lang="en-US" sz="1100"/>
              <a:t>staff availability, and MOUs to obtain supplies and/or staff</a:t>
            </a:r>
          </a:p>
          <a:p>
            <a:r>
              <a:rPr lang="en-US" sz="1100"/>
              <a:t>support. These answers may or may not vary depending</a:t>
            </a:r>
          </a:p>
          <a:p>
            <a:r>
              <a:rPr lang="en-US" sz="1100"/>
              <a:t>on the equity consideration characteristic being assessed.</a:t>
            </a:r>
          </a:p>
          <a:p>
            <a:endParaRPr lang="en-US" sz="1100"/>
          </a:p>
          <a:p>
            <a:r>
              <a:rPr lang="en-US" sz="1100"/>
              <a:t>6.  For each yellow cell in Column F, click the dropdown </a:t>
            </a:r>
          </a:p>
          <a:p>
            <a:r>
              <a:rPr lang="en-US" sz="1100"/>
              <a:t>arrow and enter the expected impact: </a:t>
            </a:r>
          </a:p>
          <a:p>
            <a:r>
              <a:rPr lang="en-US" sz="1100"/>
              <a:t>    -  Not at all confident</a:t>
            </a:r>
          </a:p>
          <a:p>
            <a:r>
              <a:rPr lang="en-US" sz="1100"/>
              <a:t>    -  Slightly confident</a:t>
            </a:r>
          </a:p>
          <a:p>
            <a:r>
              <a:rPr lang="en-US" sz="1100"/>
              <a:t>    -  Somewhat confident </a:t>
            </a:r>
          </a:p>
          <a:p>
            <a:r>
              <a:rPr lang="en-US" sz="1100"/>
              <a:t>    -  Fairly confident </a:t>
            </a:r>
          </a:p>
          <a:p>
            <a:r>
              <a:rPr lang="en-US" sz="1100"/>
              <a:t>    -  Completely confident</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b="1" u="sng"/>
              <a:t>Column G: Responsibility</a:t>
            </a:r>
          </a:p>
          <a:p>
            <a:r>
              <a:rPr lang="en-US" sz="1100"/>
              <a:t>7.  Determine “How responsible is your organization to address the needs of the identified group before an emergency?”</a:t>
            </a:r>
          </a:p>
          <a:p>
            <a:endParaRPr lang="en-US" sz="1100"/>
          </a:p>
          <a:p>
            <a:r>
              <a:rPr lang="en-US" sz="1100"/>
              <a:t>Answering this question requires some upstream thinking.</a:t>
            </a:r>
          </a:p>
          <a:p>
            <a:r>
              <a:rPr lang="en-US" sz="1100"/>
              <a:t>For example, a Federally Qualified Health Center (FQHC)</a:t>
            </a:r>
          </a:p>
          <a:p>
            <a:r>
              <a:rPr lang="en-US" sz="1100"/>
              <a:t>may have more responsibility to address the needs of</a:t>
            </a:r>
          </a:p>
          <a:p>
            <a:r>
              <a:rPr lang="en-US" sz="1100"/>
              <a:t>those below the 150% poverty rate before a hazard event</a:t>
            </a:r>
          </a:p>
          <a:p>
            <a:r>
              <a:rPr lang="en-US" sz="1100"/>
              <a:t>than a private, Continuing Care Retirement Community</a:t>
            </a:r>
          </a:p>
          <a:p>
            <a:r>
              <a:rPr lang="en-US" sz="1100"/>
              <a:t>(CCRC). This example may be extreme but is used for</a:t>
            </a:r>
          </a:p>
          <a:p>
            <a:r>
              <a:rPr lang="en-US" sz="1100"/>
              <a:t>illustrative purposes. These answers may or may not vary</a:t>
            </a:r>
          </a:p>
          <a:p>
            <a:r>
              <a:rPr lang="en-US" sz="1100"/>
              <a:t>depending on the equity consideration characteristic being</a:t>
            </a:r>
          </a:p>
          <a:p>
            <a:r>
              <a:rPr lang="en-US" sz="1100"/>
              <a:t>assessed.</a:t>
            </a:r>
          </a:p>
          <a:p>
            <a:endParaRPr lang="en-US" sz="1100"/>
          </a:p>
          <a:p>
            <a:r>
              <a:rPr lang="en-US" sz="1100"/>
              <a:t>8.  For each yellow cell in Column G, click the dropdown</a:t>
            </a:r>
          </a:p>
          <a:p>
            <a:r>
              <a:rPr lang="en-US" sz="1100"/>
              <a:t>arrow and enter the expected impact: </a:t>
            </a:r>
          </a:p>
          <a:p>
            <a:r>
              <a:rPr lang="en-US" sz="1100"/>
              <a:t>    -  Not at all responsible</a:t>
            </a:r>
          </a:p>
          <a:p>
            <a:r>
              <a:rPr lang="en-US" sz="1100"/>
              <a:t>    -  Slightly responsible</a:t>
            </a:r>
          </a:p>
          <a:p>
            <a:r>
              <a:rPr lang="en-US" sz="1100"/>
              <a:t>    -  Somewhat responsible</a:t>
            </a:r>
          </a:p>
          <a:p>
            <a:r>
              <a:rPr lang="en-US" sz="1100"/>
              <a:t>    -  Fairly responsible</a:t>
            </a:r>
          </a:p>
          <a:p>
            <a:r>
              <a:rPr lang="en-US" sz="1100"/>
              <a:t>    -  Completely responsible</a:t>
            </a:r>
          </a:p>
          <a:p>
            <a:endParaRPr lang="en-US" sz="1100"/>
          </a:p>
          <a:p>
            <a:endParaRPr lang="en-US" sz="1100"/>
          </a:p>
          <a:p>
            <a:endParaRPr lang="en-US" sz="1100"/>
          </a:p>
          <a:p>
            <a:endParaRPr lang="en-US" sz="1100"/>
          </a:p>
          <a:p>
            <a:endParaRPr lang="en-US" sz="1100"/>
          </a:p>
          <a:p>
            <a:endParaRPr lang="en-US" sz="1100"/>
          </a:p>
          <a:p>
            <a:endParaRPr lang="en-US" sz="1100"/>
          </a:p>
          <a:p>
            <a:r>
              <a:rPr lang="en-US" sz="1100"/>
              <a:t>*Please note that the relative percentages are reversed in the calculations to reflect an increased equity burden with increasing responsibility.</a:t>
            </a:r>
          </a:p>
          <a:p>
            <a:endParaRPr lang="en-US" sz="1100"/>
          </a:p>
          <a:p>
            <a:r>
              <a:rPr lang="en-US" sz="1100" b="1" u="sng"/>
              <a:t>Column H: Community Connections</a:t>
            </a:r>
          </a:p>
          <a:p>
            <a:r>
              <a:rPr lang="en-US" sz="1100"/>
              <a:t>9.  Answer “How confident are you that your organization can</a:t>
            </a:r>
          </a:p>
          <a:p>
            <a:r>
              <a:rPr lang="en-US" sz="1100"/>
              <a:t>connect these patients to the right community resources?”</a:t>
            </a:r>
          </a:p>
          <a:p>
            <a:endParaRPr lang="en-US" sz="1100"/>
          </a:p>
          <a:p>
            <a:r>
              <a:rPr lang="en-US" sz="1100"/>
              <a:t>These community resources include agencies that serve,</a:t>
            </a:r>
          </a:p>
          <a:p>
            <a:r>
              <a:rPr lang="en-US" sz="1100"/>
              <a:t>support, and work with the identified group from each row. </a:t>
            </a:r>
          </a:p>
          <a:p>
            <a:r>
              <a:rPr lang="en-US" sz="1100"/>
              <a:t>These answers may or may not vary depending on the equity</a:t>
            </a:r>
          </a:p>
          <a:p>
            <a:r>
              <a:rPr lang="en-US" sz="1100"/>
              <a:t>consideration characteristic being assessed.</a:t>
            </a:r>
          </a:p>
          <a:p>
            <a:endParaRPr lang="en-US" sz="1100"/>
          </a:p>
          <a:p>
            <a:r>
              <a:rPr lang="en-US" sz="1100"/>
              <a:t>10.  For each yellow cell in Column H, click the dropdown</a:t>
            </a:r>
          </a:p>
          <a:p>
            <a:r>
              <a:rPr lang="en-US" sz="1100"/>
              <a:t>arrow and enter the expected impact: </a:t>
            </a:r>
          </a:p>
          <a:p>
            <a:r>
              <a:rPr lang="en-US" sz="1100"/>
              <a:t>    -  Not at all confident</a:t>
            </a:r>
          </a:p>
          <a:p>
            <a:r>
              <a:rPr lang="en-US" sz="1100"/>
              <a:t>    -  Slightly confident</a:t>
            </a:r>
          </a:p>
          <a:p>
            <a:r>
              <a:rPr lang="en-US" sz="1100"/>
              <a:t>    -  Somewhat confident </a:t>
            </a:r>
          </a:p>
          <a:p>
            <a:r>
              <a:rPr lang="en-US" sz="1100"/>
              <a:t>    -  Fairly confident </a:t>
            </a:r>
          </a:p>
          <a:p>
            <a:r>
              <a:rPr lang="en-US" sz="1100"/>
              <a:t>    -  Completely confident</a:t>
            </a:r>
          </a:p>
          <a:p>
            <a:endParaRPr lang="en-US" sz="1100"/>
          </a:p>
          <a:p>
            <a:endParaRPr lang="en-US" sz="1100"/>
          </a:p>
          <a:p>
            <a:endParaRPr lang="en-US" sz="1100"/>
          </a:p>
          <a:p>
            <a:endParaRPr lang="en-US" sz="1100"/>
          </a:p>
          <a:p>
            <a:endParaRPr lang="en-US" sz="1100"/>
          </a:p>
          <a:p>
            <a:endParaRPr lang="en-US" sz="1100"/>
          </a:p>
          <a:p>
            <a:endParaRPr lang="en-US" sz="1100"/>
          </a:p>
          <a:p>
            <a:endParaRPr lang="en-US" sz="1100" b="1" u="sng"/>
          </a:p>
          <a:p>
            <a:r>
              <a:rPr lang="en-US" sz="1100" b="1" u="sng"/>
              <a:t>Column I: Severity</a:t>
            </a:r>
          </a:p>
          <a:p>
            <a:r>
              <a:rPr lang="en-US" sz="1100"/>
              <a:t>Severity is automatically calculated and is a function of the population size (Column C) of the specific equity consideration as a percentage, the estimated impact (Column E), and mitigation efforts (Columns F, G, and H). </a:t>
            </a:r>
          </a:p>
          <a:p>
            <a:endParaRPr lang="en-US" sz="1100"/>
          </a:p>
          <a:p>
            <a:r>
              <a:rPr lang="en-US" sz="1100"/>
              <a:t>Column J: Relative Health Equity Risk</a:t>
            </a:r>
          </a:p>
          <a:p>
            <a:r>
              <a:rPr lang="en-US" sz="1100"/>
              <a:t>Relative Health Equity Risk is automatically calculated and is a function of the Relative Risk score from the InputHazards worksheet. </a:t>
            </a:r>
          </a:p>
          <a:p>
            <a:endParaRPr lang="en-US" sz="1100"/>
          </a:p>
          <a:p>
            <a:r>
              <a:rPr lang="en-US" sz="1100"/>
              <a:t>11.  Review your results in Column J.  The higher percentage, the more likely these populations are likely to experience negative health outcomes during a potential hazard and the more effort should be put into preparedness plans in advance of, and recovery support after, an event.</a:t>
            </a:r>
          </a:p>
          <a:p>
            <a:endParaRPr lang="en-US" sz="1100"/>
          </a:p>
          <a:p>
            <a:r>
              <a:rPr lang="en-US" sz="1100"/>
              <a:t>It is important to note that: the final results are intended to show *RELATIVE* risk only; the calculated percentages are meaningless independently and only show whether an identified health equity characteristic is at higher or lower risk than another. The percentage does not indicate the degree of risk.  </a:t>
            </a:r>
          </a:p>
          <a:p>
            <a:endParaRPr lang="en-US" sz="1100"/>
          </a:p>
          <a:p>
            <a:r>
              <a:rPr lang="en-US" sz="1100"/>
              <a:t>12.  After finishing the Hazard 2 Worksheet, move to the</a:t>
            </a:r>
            <a:r>
              <a:rPr lang="en-US" sz="1100" baseline="0"/>
              <a:t> Hazard 3 Worksheet</a:t>
            </a:r>
            <a:r>
              <a:rPr lang="en-US" sz="1100"/>
              <a:t>.  </a:t>
            </a:r>
          </a:p>
        </xdr:txBody>
      </xdr:sp>
      <xdr:grpSp>
        <xdr:nvGrpSpPr>
          <xdr:cNvPr id="4" name="Group 3">
            <a:extLst>
              <a:ext uri="{FF2B5EF4-FFF2-40B4-BE49-F238E27FC236}">
                <a16:creationId xmlns:a16="http://schemas.microsoft.com/office/drawing/2014/main" id="{791DB649-80D1-F782-CD54-AFEE8535A717}"/>
              </a:ext>
            </a:extLst>
          </xdr:cNvPr>
          <xdr:cNvGrpSpPr/>
        </xdr:nvGrpSpPr>
        <xdr:grpSpPr>
          <a:xfrm>
            <a:off x="17716500" y="2166257"/>
            <a:ext cx="2021114" cy="2752725"/>
            <a:chOff x="3829050" y="21802725"/>
            <a:chExt cx="2012950" cy="2743200"/>
          </a:xfrm>
        </xdr:grpSpPr>
        <xdr:pic>
          <xdr:nvPicPr>
            <xdr:cNvPr id="18" name="Picture 17" descr="Graphical user interface, application, table, Excel&#10;&#10;Description automatically generated">
              <a:extLst>
                <a:ext uri="{FF2B5EF4-FFF2-40B4-BE49-F238E27FC236}">
                  <a16:creationId xmlns:a16="http://schemas.microsoft.com/office/drawing/2014/main" id="{5EC344D0-21B6-F2ED-17AD-E033D9B597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854" t="40181" r="40751" b="11115"/>
            <a:stretch/>
          </xdr:blipFill>
          <xdr:spPr bwMode="auto">
            <a:xfrm>
              <a:off x="3829050" y="21802725"/>
              <a:ext cx="2012950" cy="2743200"/>
            </a:xfrm>
            <a:prstGeom prst="rect">
              <a:avLst/>
            </a:prstGeom>
            <a:ln>
              <a:noFill/>
            </a:ln>
            <a:extLst>
              <a:ext uri="{53640926-AAD7-44D8-BBD7-CCE9431645EC}">
                <a14:shadowObscured xmlns:a14="http://schemas.microsoft.com/office/drawing/2010/main"/>
              </a:ext>
            </a:extLst>
          </xdr:spPr>
        </xdr:pic>
        <xdr:sp macro="" textlink="">
          <xdr:nvSpPr>
            <xdr:cNvPr id="19" name="Rectangle 18">
              <a:extLst>
                <a:ext uri="{FF2B5EF4-FFF2-40B4-BE49-F238E27FC236}">
                  <a16:creationId xmlns:a16="http://schemas.microsoft.com/office/drawing/2014/main" id="{F1EBADED-8CD7-3EBA-00E5-C0214D77A973}"/>
                </a:ext>
              </a:extLst>
            </xdr:cNvPr>
            <xdr:cNvSpPr/>
          </xdr:nvSpPr>
          <xdr:spPr>
            <a:xfrm>
              <a:off x="5591175" y="23498175"/>
              <a:ext cx="224790" cy="2387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5" name="Picture 4">
            <a:extLst>
              <a:ext uri="{FF2B5EF4-FFF2-40B4-BE49-F238E27FC236}">
                <a16:creationId xmlns:a16="http://schemas.microsoft.com/office/drawing/2014/main" id="{5E7D7800-5B54-1258-76B4-1E78CC5FD04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8622" b="20131"/>
          <a:stretch/>
        </xdr:blipFill>
        <xdr:spPr bwMode="auto">
          <a:xfrm>
            <a:off x="14071146" y="4957082"/>
            <a:ext cx="3437675" cy="1020535"/>
          </a:xfrm>
          <a:prstGeom prst="rect">
            <a:avLst/>
          </a:prstGeom>
          <a:noFill/>
          <a:ln>
            <a:noFill/>
          </a:ln>
        </xdr:spPr>
      </xdr:pic>
      <xdr:grpSp>
        <xdr:nvGrpSpPr>
          <xdr:cNvPr id="6" name="Group 5">
            <a:extLst>
              <a:ext uri="{FF2B5EF4-FFF2-40B4-BE49-F238E27FC236}">
                <a16:creationId xmlns:a16="http://schemas.microsoft.com/office/drawing/2014/main" id="{8B495E4C-C1CD-F35F-5E2B-2CD9AA8E7E51}"/>
              </a:ext>
            </a:extLst>
          </xdr:cNvPr>
          <xdr:cNvGrpSpPr/>
        </xdr:nvGrpSpPr>
        <xdr:grpSpPr>
          <a:xfrm>
            <a:off x="17792700" y="7154636"/>
            <a:ext cx="1966504" cy="2774496"/>
            <a:chOff x="3771900" y="25974675"/>
            <a:chExt cx="1958340" cy="2743200"/>
          </a:xfrm>
        </xdr:grpSpPr>
        <xdr:pic>
          <xdr:nvPicPr>
            <xdr:cNvPr id="16" name="Picture 15" descr="Graphical user interface, table, Excel&#10;&#10;Description automatically generated">
              <a:extLst>
                <a:ext uri="{FF2B5EF4-FFF2-40B4-BE49-F238E27FC236}">
                  <a16:creationId xmlns:a16="http://schemas.microsoft.com/office/drawing/2014/main" id="{21D8D242-7DB6-3885-1FF5-8F9252936EB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929" t="39939" r="56250" b="11295"/>
            <a:stretch/>
          </xdr:blipFill>
          <xdr:spPr bwMode="auto">
            <a:xfrm>
              <a:off x="3771900" y="25974675"/>
              <a:ext cx="1958340" cy="2743200"/>
            </a:xfrm>
            <a:prstGeom prst="rect">
              <a:avLst/>
            </a:prstGeom>
            <a:ln>
              <a:noFill/>
            </a:ln>
            <a:extLst>
              <a:ext uri="{53640926-AAD7-44D8-BBD7-CCE9431645EC}">
                <a14:shadowObscured xmlns:a14="http://schemas.microsoft.com/office/drawing/2010/main"/>
              </a:ext>
            </a:extLst>
          </xdr:spPr>
        </xdr:pic>
        <xdr:sp macro="" textlink="">
          <xdr:nvSpPr>
            <xdr:cNvPr id="17" name="Rectangle 16">
              <a:extLst>
                <a:ext uri="{FF2B5EF4-FFF2-40B4-BE49-F238E27FC236}">
                  <a16:creationId xmlns:a16="http://schemas.microsoft.com/office/drawing/2014/main" id="{55181553-194E-9E0C-AE96-60C32FA5BFD9}"/>
                </a:ext>
              </a:extLst>
            </xdr:cNvPr>
            <xdr:cNvSpPr/>
          </xdr:nvSpPr>
          <xdr:spPr>
            <a:xfrm>
              <a:off x="5572124" y="27717750"/>
              <a:ext cx="158115"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7" name="Picture 6">
            <a:extLst>
              <a:ext uri="{FF2B5EF4-FFF2-40B4-BE49-F238E27FC236}">
                <a16:creationId xmlns:a16="http://schemas.microsoft.com/office/drawing/2014/main" id="{65793938-82D4-4BA0-4543-4DFB6B42555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9102" b="20131"/>
          <a:stretch/>
        </xdr:blipFill>
        <xdr:spPr bwMode="auto">
          <a:xfrm>
            <a:off x="14042571" y="10243457"/>
            <a:ext cx="3635829" cy="1085850"/>
          </a:xfrm>
          <a:prstGeom prst="rect">
            <a:avLst/>
          </a:prstGeom>
          <a:noFill/>
          <a:ln>
            <a:noFill/>
          </a:ln>
        </xdr:spPr>
      </xdr:pic>
      <xdr:grpSp>
        <xdr:nvGrpSpPr>
          <xdr:cNvPr id="8" name="Group 7">
            <a:extLst>
              <a:ext uri="{FF2B5EF4-FFF2-40B4-BE49-F238E27FC236}">
                <a16:creationId xmlns:a16="http://schemas.microsoft.com/office/drawing/2014/main" id="{8CAE6707-00C9-CD5A-E79C-75136C1E947B}"/>
              </a:ext>
            </a:extLst>
          </xdr:cNvPr>
          <xdr:cNvGrpSpPr/>
        </xdr:nvGrpSpPr>
        <xdr:grpSpPr>
          <a:xfrm>
            <a:off x="17621250" y="12262757"/>
            <a:ext cx="2145574" cy="2743200"/>
            <a:chOff x="3705225" y="30946725"/>
            <a:chExt cx="2137410" cy="2743200"/>
          </a:xfrm>
        </xdr:grpSpPr>
        <xdr:pic>
          <xdr:nvPicPr>
            <xdr:cNvPr id="14" name="Picture 13" descr="Table, Excel&#10;&#10;Description automatically generated">
              <a:extLst>
                <a:ext uri="{FF2B5EF4-FFF2-40B4-BE49-F238E27FC236}">
                  <a16:creationId xmlns:a16="http://schemas.microsoft.com/office/drawing/2014/main" id="{747B5245-D487-36A9-C9E4-213A4C506DD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9724" t="43973" r="38343" b="11125"/>
            <a:stretch/>
          </xdr:blipFill>
          <xdr:spPr bwMode="auto">
            <a:xfrm>
              <a:off x="3705225" y="30946725"/>
              <a:ext cx="2137410" cy="2743200"/>
            </a:xfrm>
            <a:prstGeom prst="rect">
              <a:avLst/>
            </a:prstGeom>
            <a:ln>
              <a:noFill/>
            </a:ln>
            <a:extLst>
              <a:ext uri="{53640926-AAD7-44D8-BBD7-CCE9431645EC}">
                <a14:shadowObscured xmlns:a14="http://schemas.microsoft.com/office/drawing/2010/main"/>
              </a:ext>
            </a:extLst>
          </xdr:spPr>
        </xdr:pic>
        <xdr:sp macro="" textlink="">
          <xdr:nvSpPr>
            <xdr:cNvPr id="15" name="Rectangle 14">
              <a:extLst>
                <a:ext uri="{FF2B5EF4-FFF2-40B4-BE49-F238E27FC236}">
                  <a16:creationId xmlns:a16="http://schemas.microsoft.com/office/drawing/2014/main" id="{8957CA45-BC4A-D768-C477-031C21A65C49}"/>
                </a:ext>
              </a:extLst>
            </xdr:cNvPr>
            <xdr:cNvSpPr/>
          </xdr:nvSpPr>
          <xdr:spPr>
            <a:xfrm>
              <a:off x="5648325" y="32594550"/>
              <a:ext cx="186690"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9" name="Picture 8">
            <a:extLst>
              <a:ext uri="{FF2B5EF4-FFF2-40B4-BE49-F238E27FC236}">
                <a16:creationId xmlns:a16="http://schemas.microsoft.com/office/drawing/2014/main" id="{0A48C032-BC68-147D-F1D7-7B873CD14B5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02" t="10344" r="38302"/>
          <a:stretch/>
        </xdr:blipFill>
        <xdr:spPr bwMode="auto">
          <a:xfrm>
            <a:off x="14052096" y="15225032"/>
            <a:ext cx="3588204" cy="1073150"/>
          </a:xfrm>
          <a:prstGeom prst="rect">
            <a:avLst/>
          </a:prstGeom>
          <a:noFill/>
          <a:ln>
            <a:noFill/>
          </a:ln>
        </xdr:spPr>
      </xdr:pic>
      <xdr:grpSp>
        <xdr:nvGrpSpPr>
          <xdr:cNvPr id="10" name="Group 9">
            <a:extLst>
              <a:ext uri="{FF2B5EF4-FFF2-40B4-BE49-F238E27FC236}">
                <a16:creationId xmlns:a16="http://schemas.microsoft.com/office/drawing/2014/main" id="{25186246-4E7E-9BD3-C96B-28A43A6D1A54}"/>
              </a:ext>
            </a:extLst>
          </xdr:cNvPr>
          <xdr:cNvGrpSpPr/>
        </xdr:nvGrpSpPr>
        <xdr:grpSpPr>
          <a:xfrm>
            <a:off x="17868899" y="17053831"/>
            <a:ext cx="1993809" cy="2600326"/>
            <a:chOff x="3724275" y="36061650"/>
            <a:chExt cx="2147570" cy="2743200"/>
          </a:xfrm>
        </xdr:grpSpPr>
        <xdr:pic>
          <xdr:nvPicPr>
            <xdr:cNvPr id="12" name="Picture 11" descr="Table&#10;&#10;Description automatically generated">
              <a:extLst>
                <a:ext uri="{FF2B5EF4-FFF2-40B4-BE49-F238E27FC236}">
                  <a16:creationId xmlns:a16="http://schemas.microsoft.com/office/drawing/2014/main" id="{DE53DCE1-C7AE-2BDA-5364-66ECFAD4E09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7765" t="44004" r="20169" b="11038"/>
            <a:stretch/>
          </xdr:blipFill>
          <xdr:spPr bwMode="auto">
            <a:xfrm>
              <a:off x="3724275" y="36061650"/>
              <a:ext cx="2147570" cy="2743200"/>
            </a:xfrm>
            <a:prstGeom prst="rect">
              <a:avLst/>
            </a:prstGeom>
            <a:ln>
              <a:noFill/>
            </a:ln>
            <a:extLst>
              <a:ext uri="{53640926-AAD7-44D8-BBD7-CCE9431645EC}">
                <a14:shadowObscured xmlns:a14="http://schemas.microsoft.com/office/drawing/2010/main"/>
              </a:ext>
            </a:extLst>
          </xdr:spPr>
        </xdr:pic>
        <xdr:sp macro="" textlink="">
          <xdr:nvSpPr>
            <xdr:cNvPr id="13" name="Rectangle 12">
              <a:extLst>
                <a:ext uri="{FF2B5EF4-FFF2-40B4-BE49-F238E27FC236}">
                  <a16:creationId xmlns:a16="http://schemas.microsoft.com/office/drawing/2014/main" id="{4632187A-2ED8-3DD9-9CF0-62A51E3C418B}"/>
                </a:ext>
              </a:extLst>
            </xdr:cNvPr>
            <xdr:cNvSpPr/>
          </xdr:nvSpPr>
          <xdr:spPr>
            <a:xfrm>
              <a:off x="5629275" y="37652325"/>
              <a:ext cx="224790" cy="238760"/>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11" name="Picture 10">
            <a:extLst>
              <a:ext uri="{FF2B5EF4-FFF2-40B4-BE49-F238E27FC236}">
                <a16:creationId xmlns:a16="http://schemas.microsoft.com/office/drawing/2014/main" id="{C28E424C-C3E6-D918-9A87-BCCE2CDD4BA4}"/>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39131" b="20454"/>
          <a:stretch/>
        </xdr:blipFill>
        <xdr:spPr bwMode="auto">
          <a:xfrm>
            <a:off x="14071146" y="19625582"/>
            <a:ext cx="3633924" cy="108077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0</xdr:row>
      <xdr:rowOff>0</xdr:rowOff>
    </xdr:from>
    <xdr:to>
      <xdr:col>20</xdr:col>
      <xdr:colOff>605518</xdr:colOff>
      <xdr:row>120</xdr:row>
      <xdr:rowOff>89808</xdr:rowOff>
    </xdr:to>
    <xdr:grpSp>
      <xdr:nvGrpSpPr>
        <xdr:cNvPr id="2" name="Group 1">
          <a:extLst>
            <a:ext uri="{FF2B5EF4-FFF2-40B4-BE49-F238E27FC236}">
              <a16:creationId xmlns:a16="http://schemas.microsoft.com/office/drawing/2014/main" id="{541824A6-E9C0-4EBD-98F2-05D916809028}"/>
            </a:ext>
          </a:extLst>
        </xdr:cNvPr>
        <xdr:cNvGrpSpPr/>
      </xdr:nvGrpSpPr>
      <xdr:grpSpPr>
        <a:xfrm>
          <a:off x="14649450" y="0"/>
          <a:ext cx="6091918" cy="24530958"/>
          <a:chOff x="13966371" y="47623"/>
          <a:chExt cx="6091918" cy="24454758"/>
        </a:xfrm>
      </xdr:grpSpPr>
      <xdr:sp macro="" textlink="">
        <xdr:nvSpPr>
          <xdr:cNvPr id="3" name="TextBox 2">
            <a:extLst>
              <a:ext uri="{FF2B5EF4-FFF2-40B4-BE49-F238E27FC236}">
                <a16:creationId xmlns:a16="http://schemas.microsoft.com/office/drawing/2014/main" id="{400611DF-974E-FF18-589F-8807804FB224}"/>
              </a:ext>
            </a:extLst>
          </xdr:cNvPr>
          <xdr:cNvSpPr txBox="1"/>
        </xdr:nvSpPr>
        <xdr:spPr>
          <a:xfrm>
            <a:off x="13966371" y="47623"/>
            <a:ext cx="6091918" cy="24454758"/>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Hazard Tabs</a:t>
            </a:r>
          </a:p>
          <a:p>
            <a:r>
              <a:rPr lang="en-US" sz="1100"/>
              <a:t>1.  Each Hazard tab has been populated with the hazard (cell B2) and relative risk (cell E2) from the InputHazard tab and with population data based on the InputCounties tab (Columns C and D).   </a:t>
            </a:r>
          </a:p>
          <a:p>
            <a:endParaRPr lang="en-US" sz="1100"/>
          </a:p>
          <a:p>
            <a:r>
              <a:rPr lang="en-US" sz="1100"/>
              <a:t>2.  Population data from the InputCounties tab appears in Columns C (as a percentage) and D (as a number) of the total population of the selected counties.  Do not edit or replace this information.</a:t>
            </a:r>
          </a:p>
          <a:p>
            <a:endParaRPr lang="en-US" sz="1100"/>
          </a:p>
          <a:p>
            <a:r>
              <a:rPr lang="en-US" sz="1100"/>
              <a:t>3.  The next four columns will require manual input, by using the dropdown arrows next to each cell. Each dropdown provides a list of five options. Users should use their team’s best judgment to select the answer that best fits the prompt questions for that specific health equity consideration characteristic. </a:t>
            </a:r>
          </a:p>
          <a:p>
            <a:endParaRPr lang="en-US" sz="1100"/>
          </a:p>
          <a:p>
            <a:r>
              <a:rPr lang="en-US" sz="1100" b="1" i="1"/>
              <a:t>Column E: Estimated impact  </a:t>
            </a:r>
          </a:p>
          <a:p>
            <a:r>
              <a:rPr lang="en-US" sz="1100"/>
              <a:t>4.  Assess “what impact would incoming patients from the </a:t>
            </a:r>
          </a:p>
          <a:p>
            <a:r>
              <a:rPr lang="en-US" sz="1100"/>
              <a:t>identified groups have on our ability to respond to the</a:t>
            </a:r>
          </a:p>
          <a:p>
            <a:r>
              <a:rPr lang="en-US" sz="1100"/>
              <a:t>specific hazard?”</a:t>
            </a:r>
          </a:p>
          <a:p>
            <a:endParaRPr lang="en-US" sz="1100"/>
          </a:p>
          <a:p>
            <a:r>
              <a:rPr lang="en-US" sz="1100"/>
              <a:t>This can be thought of as what percentage of the population</a:t>
            </a:r>
          </a:p>
          <a:p>
            <a:r>
              <a:rPr lang="en-US" sz="1100"/>
              <a:t>of the identified group will likely seek medical care or need</a:t>
            </a:r>
          </a:p>
          <a:p>
            <a:r>
              <a:rPr lang="en-US" sz="1100"/>
              <a:t>medical treatment or support from your facility or</a:t>
            </a:r>
          </a:p>
          <a:p>
            <a:r>
              <a:rPr lang="en-US" sz="1100"/>
              <a:t>organization because of the hazard event.</a:t>
            </a:r>
          </a:p>
          <a:p>
            <a:endParaRPr lang="en-US" sz="1100"/>
          </a:p>
          <a:p>
            <a:r>
              <a:rPr lang="en-US" sz="1100"/>
              <a:t>For each yellow cell in Column E, click the dropdown arrow </a:t>
            </a:r>
          </a:p>
          <a:p>
            <a:r>
              <a:rPr lang="en-US" sz="1100"/>
              <a:t>and enter the expected impact: </a:t>
            </a:r>
          </a:p>
          <a:p>
            <a:r>
              <a:rPr lang="en-US" sz="1100"/>
              <a:t>    -  No impact</a:t>
            </a:r>
          </a:p>
          <a:p>
            <a:r>
              <a:rPr lang="en-US" sz="1100"/>
              <a:t>    -  Low impact</a:t>
            </a:r>
          </a:p>
          <a:p>
            <a:r>
              <a:rPr lang="en-US" sz="1100"/>
              <a:t>    -  Moderate impact</a:t>
            </a:r>
          </a:p>
          <a:p>
            <a:r>
              <a:rPr lang="en-US" sz="1100"/>
              <a:t>    -  High impact </a:t>
            </a:r>
          </a:p>
          <a:p>
            <a:r>
              <a:rPr lang="en-US" sz="1100"/>
              <a:t>    -  Very High impact  </a:t>
            </a:r>
          </a:p>
          <a:p>
            <a:endParaRPr lang="en-US" sz="1100"/>
          </a:p>
          <a:p>
            <a:endParaRPr lang="en-US" sz="1100"/>
          </a:p>
          <a:p>
            <a:endParaRPr lang="en-US" sz="1100"/>
          </a:p>
          <a:p>
            <a:endParaRPr lang="en-US" sz="1100"/>
          </a:p>
          <a:p>
            <a:endParaRPr lang="en-US" sz="1100"/>
          </a:p>
          <a:p>
            <a:endParaRPr lang="en-US" sz="1100"/>
          </a:p>
          <a:p>
            <a:endParaRPr lang="en-US" sz="1100"/>
          </a:p>
          <a:p>
            <a:r>
              <a:rPr lang="en-US" sz="1100" b="1" i="1"/>
              <a:t>Columns F, G, and H: Mitigation </a:t>
            </a:r>
          </a:p>
          <a:p>
            <a:r>
              <a:rPr lang="en-US" sz="1100"/>
              <a:t>Assess your mitigation efforts (Columns F, G, and H).  These columns relate mitigation efforts that your organization and/or community have enacted to reduce the impact of the hazard on the selected population.</a:t>
            </a:r>
          </a:p>
          <a:p>
            <a:endParaRPr lang="en-US" sz="1100"/>
          </a:p>
          <a:p>
            <a:r>
              <a:rPr lang="en-US" sz="1100" b="1" u="sng"/>
              <a:t>Column F: Resources</a:t>
            </a:r>
          </a:p>
          <a:p>
            <a:r>
              <a:rPr lang="en-US" sz="1100"/>
              <a:t>5.  Answer “How confident are you that your organization</a:t>
            </a:r>
          </a:p>
          <a:p>
            <a:r>
              <a:rPr lang="en-US" sz="1100"/>
              <a:t>has the resources to manage the estimated impact (from </a:t>
            </a:r>
          </a:p>
          <a:p>
            <a:r>
              <a:rPr lang="en-US" sz="1100"/>
              <a:t>Column E)?”</a:t>
            </a:r>
          </a:p>
          <a:p>
            <a:endParaRPr lang="en-US" sz="1100"/>
          </a:p>
          <a:p>
            <a:r>
              <a:rPr lang="en-US" sz="1100"/>
              <a:t>Resources include, but are not necessarily limited to, how</a:t>
            </a:r>
          </a:p>
          <a:p>
            <a:r>
              <a:rPr lang="en-US" sz="1100"/>
              <a:t>much planning the user’s facility or organization has done</a:t>
            </a:r>
          </a:p>
          <a:p>
            <a:r>
              <a:rPr lang="en-US" sz="1100"/>
              <a:t>to prepare, the types and quantities of supplies on hand, </a:t>
            </a:r>
          </a:p>
          <a:p>
            <a:r>
              <a:rPr lang="en-US" sz="1100"/>
              <a:t>staff availability, and MOUs to obtain supplies and/or staff</a:t>
            </a:r>
          </a:p>
          <a:p>
            <a:r>
              <a:rPr lang="en-US" sz="1100"/>
              <a:t>support. These answers may or may not vary depending</a:t>
            </a:r>
          </a:p>
          <a:p>
            <a:r>
              <a:rPr lang="en-US" sz="1100"/>
              <a:t>on the equity consideration characteristic being assessed.</a:t>
            </a:r>
          </a:p>
          <a:p>
            <a:endParaRPr lang="en-US" sz="1100"/>
          </a:p>
          <a:p>
            <a:r>
              <a:rPr lang="en-US" sz="1100"/>
              <a:t>6.  For each yellow cell in Column F, click the dropdown </a:t>
            </a:r>
          </a:p>
          <a:p>
            <a:r>
              <a:rPr lang="en-US" sz="1100"/>
              <a:t>arrow and enter the expected impact: </a:t>
            </a:r>
          </a:p>
          <a:p>
            <a:r>
              <a:rPr lang="en-US" sz="1100"/>
              <a:t>    -  Not at all confident</a:t>
            </a:r>
          </a:p>
          <a:p>
            <a:r>
              <a:rPr lang="en-US" sz="1100"/>
              <a:t>    -  Slightly confident</a:t>
            </a:r>
          </a:p>
          <a:p>
            <a:r>
              <a:rPr lang="en-US" sz="1100"/>
              <a:t>    -  Somewhat confident </a:t>
            </a:r>
          </a:p>
          <a:p>
            <a:r>
              <a:rPr lang="en-US" sz="1100"/>
              <a:t>    -  Fairly confident </a:t>
            </a:r>
          </a:p>
          <a:p>
            <a:r>
              <a:rPr lang="en-US" sz="1100"/>
              <a:t>    -  Completely confident</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b="1" u="sng"/>
              <a:t>Column G: Responsibility</a:t>
            </a:r>
          </a:p>
          <a:p>
            <a:r>
              <a:rPr lang="en-US" sz="1100"/>
              <a:t>7.  Determine “How responsible is your organization to address the needs of the identified group before an emergency?”</a:t>
            </a:r>
          </a:p>
          <a:p>
            <a:endParaRPr lang="en-US" sz="1100"/>
          </a:p>
          <a:p>
            <a:r>
              <a:rPr lang="en-US" sz="1100"/>
              <a:t>Answering this question requires some upstream thinking.</a:t>
            </a:r>
          </a:p>
          <a:p>
            <a:r>
              <a:rPr lang="en-US" sz="1100"/>
              <a:t>For example, a Federally Qualified Health Center (FQHC)</a:t>
            </a:r>
          </a:p>
          <a:p>
            <a:r>
              <a:rPr lang="en-US" sz="1100"/>
              <a:t>may have more responsibility to address the needs of</a:t>
            </a:r>
          </a:p>
          <a:p>
            <a:r>
              <a:rPr lang="en-US" sz="1100"/>
              <a:t>those below the 150% poverty rate before a hazard event</a:t>
            </a:r>
          </a:p>
          <a:p>
            <a:r>
              <a:rPr lang="en-US" sz="1100"/>
              <a:t>than a private, Continuing Care Retirement Community</a:t>
            </a:r>
          </a:p>
          <a:p>
            <a:r>
              <a:rPr lang="en-US" sz="1100"/>
              <a:t>(CCRC). This example may be extreme but is used for</a:t>
            </a:r>
          </a:p>
          <a:p>
            <a:r>
              <a:rPr lang="en-US" sz="1100"/>
              <a:t>illustrative purposes. These answers may or may not vary</a:t>
            </a:r>
          </a:p>
          <a:p>
            <a:r>
              <a:rPr lang="en-US" sz="1100"/>
              <a:t>depending on the equity consideration characteristic being</a:t>
            </a:r>
          </a:p>
          <a:p>
            <a:r>
              <a:rPr lang="en-US" sz="1100"/>
              <a:t>assessed.</a:t>
            </a:r>
          </a:p>
          <a:p>
            <a:endParaRPr lang="en-US" sz="1100"/>
          </a:p>
          <a:p>
            <a:r>
              <a:rPr lang="en-US" sz="1100"/>
              <a:t>8.  For each yellow cell in Column G, click the dropdown</a:t>
            </a:r>
          </a:p>
          <a:p>
            <a:r>
              <a:rPr lang="en-US" sz="1100"/>
              <a:t>arrow and enter the expected impact: </a:t>
            </a:r>
          </a:p>
          <a:p>
            <a:r>
              <a:rPr lang="en-US" sz="1100"/>
              <a:t>    -  Not at all responsible</a:t>
            </a:r>
          </a:p>
          <a:p>
            <a:r>
              <a:rPr lang="en-US" sz="1100"/>
              <a:t>    -  Slightly responsible</a:t>
            </a:r>
          </a:p>
          <a:p>
            <a:r>
              <a:rPr lang="en-US" sz="1100"/>
              <a:t>    -  Somewhat responsible</a:t>
            </a:r>
          </a:p>
          <a:p>
            <a:r>
              <a:rPr lang="en-US" sz="1100"/>
              <a:t>    -  Fairly responsible</a:t>
            </a:r>
          </a:p>
          <a:p>
            <a:r>
              <a:rPr lang="en-US" sz="1100"/>
              <a:t>    -  Completely responsible</a:t>
            </a:r>
          </a:p>
          <a:p>
            <a:endParaRPr lang="en-US" sz="1100"/>
          </a:p>
          <a:p>
            <a:endParaRPr lang="en-US" sz="1100"/>
          </a:p>
          <a:p>
            <a:endParaRPr lang="en-US" sz="1100"/>
          </a:p>
          <a:p>
            <a:endParaRPr lang="en-US" sz="1100"/>
          </a:p>
          <a:p>
            <a:endParaRPr lang="en-US" sz="1100"/>
          </a:p>
          <a:p>
            <a:endParaRPr lang="en-US" sz="1100"/>
          </a:p>
          <a:p>
            <a:endParaRPr lang="en-US" sz="1100"/>
          </a:p>
          <a:p>
            <a:r>
              <a:rPr lang="en-US" sz="1100"/>
              <a:t>*Please note that the relative percentages are reversed in the calculations to reflect an increased equity burden with increasing responsibility.</a:t>
            </a:r>
          </a:p>
          <a:p>
            <a:endParaRPr lang="en-US" sz="1100"/>
          </a:p>
          <a:p>
            <a:r>
              <a:rPr lang="en-US" sz="1100" b="1" u="sng"/>
              <a:t>Column H: Community Connections</a:t>
            </a:r>
          </a:p>
          <a:p>
            <a:r>
              <a:rPr lang="en-US" sz="1100"/>
              <a:t>9.  Answer “How confident are you that your organization can</a:t>
            </a:r>
          </a:p>
          <a:p>
            <a:r>
              <a:rPr lang="en-US" sz="1100"/>
              <a:t>connect these patients to the right community resources?”</a:t>
            </a:r>
          </a:p>
          <a:p>
            <a:endParaRPr lang="en-US" sz="1100"/>
          </a:p>
          <a:p>
            <a:r>
              <a:rPr lang="en-US" sz="1100"/>
              <a:t>These community resources include agencies that serve,</a:t>
            </a:r>
          </a:p>
          <a:p>
            <a:r>
              <a:rPr lang="en-US" sz="1100"/>
              <a:t>support, and work with the identified group from each row. </a:t>
            </a:r>
          </a:p>
          <a:p>
            <a:r>
              <a:rPr lang="en-US" sz="1100"/>
              <a:t>These answers may or may not vary depending on the equity</a:t>
            </a:r>
          </a:p>
          <a:p>
            <a:r>
              <a:rPr lang="en-US" sz="1100"/>
              <a:t>consideration characteristic being assessed.</a:t>
            </a:r>
          </a:p>
          <a:p>
            <a:endParaRPr lang="en-US" sz="1100"/>
          </a:p>
          <a:p>
            <a:r>
              <a:rPr lang="en-US" sz="1100"/>
              <a:t>10.  For each yellow cell in Column H, click the dropdown</a:t>
            </a:r>
          </a:p>
          <a:p>
            <a:r>
              <a:rPr lang="en-US" sz="1100"/>
              <a:t>arrow and enter the expected impact: </a:t>
            </a:r>
          </a:p>
          <a:p>
            <a:r>
              <a:rPr lang="en-US" sz="1100"/>
              <a:t>    -  Not at all confident</a:t>
            </a:r>
          </a:p>
          <a:p>
            <a:r>
              <a:rPr lang="en-US" sz="1100"/>
              <a:t>    -  Slightly confident</a:t>
            </a:r>
          </a:p>
          <a:p>
            <a:r>
              <a:rPr lang="en-US" sz="1100"/>
              <a:t>    -  Somewhat confident </a:t>
            </a:r>
          </a:p>
          <a:p>
            <a:r>
              <a:rPr lang="en-US" sz="1100"/>
              <a:t>    -  Fairly confident </a:t>
            </a:r>
          </a:p>
          <a:p>
            <a:r>
              <a:rPr lang="en-US" sz="1100"/>
              <a:t>    -  Completely confident</a:t>
            </a:r>
          </a:p>
          <a:p>
            <a:endParaRPr lang="en-US" sz="1100"/>
          </a:p>
          <a:p>
            <a:endParaRPr lang="en-US" sz="1100"/>
          </a:p>
          <a:p>
            <a:endParaRPr lang="en-US" sz="1100"/>
          </a:p>
          <a:p>
            <a:endParaRPr lang="en-US" sz="1100"/>
          </a:p>
          <a:p>
            <a:endParaRPr lang="en-US" sz="1100"/>
          </a:p>
          <a:p>
            <a:endParaRPr lang="en-US" sz="1100"/>
          </a:p>
          <a:p>
            <a:endParaRPr lang="en-US" sz="1100"/>
          </a:p>
          <a:p>
            <a:endParaRPr lang="en-US" sz="1100" b="1" u="sng"/>
          </a:p>
          <a:p>
            <a:r>
              <a:rPr lang="en-US" sz="1100" b="1" u="sng"/>
              <a:t>Column I: Severity</a:t>
            </a:r>
          </a:p>
          <a:p>
            <a:r>
              <a:rPr lang="en-US" sz="1100"/>
              <a:t>Severity is automatically calculated and is a function of the population size (Column C) of the specific equity consideration as a percentage, the estimated impact (Column E), and mitigation efforts (Columns F, G, and H). </a:t>
            </a:r>
          </a:p>
          <a:p>
            <a:endParaRPr lang="en-US" sz="1100"/>
          </a:p>
          <a:p>
            <a:r>
              <a:rPr lang="en-US" sz="1100"/>
              <a:t>Column J: Relative Health Equity Risk</a:t>
            </a:r>
          </a:p>
          <a:p>
            <a:r>
              <a:rPr lang="en-US" sz="1100"/>
              <a:t>Relative Health Equity Risk is automatically calculated and is a function of the Relative Risk score from the InputHazards worksheet. </a:t>
            </a:r>
          </a:p>
          <a:p>
            <a:endParaRPr lang="en-US" sz="1100"/>
          </a:p>
          <a:p>
            <a:r>
              <a:rPr lang="en-US" sz="1100"/>
              <a:t>11.  Review your results in Column J.  The higher percentage, the more likely these populations are likely to experience negative health outcomes during a potential hazard and the more effort should be put into preparedness plans in advance of, and recovery support after, an event.</a:t>
            </a:r>
          </a:p>
          <a:p>
            <a:endParaRPr lang="en-US" sz="1100"/>
          </a:p>
          <a:p>
            <a:r>
              <a:rPr lang="en-US" sz="1100"/>
              <a:t>It is important to note that: the final results are intended to show *RELATIVE* risk only; the calculated percentages are meaningless independently and only show whether an identified health equity characteristic is at higher or lower risk than another. The percentage does not indicate the degree of risk.  </a:t>
            </a:r>
          </a:p>
          <a:p>
            <a:endParaRPr lang="en-US" sz="1100"/>
          </a:p>
          <a:p>
            <a:r>
              <a:rPr lang="en-US" sz="1100"/>
              <a:t>12.  After finishing the Hazard 3 Worksheet, move to the Hazard 4 Worksheet, or go to the Summary Results Worksheet.  </a:t>
            </a:r>
          </a:p>
        </xdr:txBody>
      </xdr:sp>
      <xdr:grpSp>
        <xdr:nvGrpSpPr>
          <xdr:cNvPr id="4" name="Group 3">
            <a:extLst>
              <a:ext uri="{FF2B5EF4-FFF2-40B4-BE49-F238E27FC236}">
                <a16:creationId xmlns:a16="http://schemas.microsoft.com/office/drawing/2014/main" id="{9576E484-1EE4-D3B7-FEDA-61F667CC668E}"/>
              </a:ext>
            </a:extLst>
          </xdr:cNvPr>
          <xdr:cNvGrpSpPr/>
        </xdr:nvGrpSpPr>
        <xdr:grpSpPr>
          <a:xfrm>
            <a:off x="17716500" y="2166257"/>
            <a:ext cx="2021114" cy="2752725"/>
            <a:chOff x="3829050" y="21802725"/>
            <a:chExt cx="2012950" cy="2743200"/>
          </a:xfrm>
        </xdr:grpSpPr>
        <xdr:pic>
          <xdr:nvPicPr>
            <xdr:cNvPr id="18" name="Picture 17" descr="Graphical user interface, application, table, Excel&#10;&#10;Description automatically generated">
              <a:extLst>
                <a:ext uri="{FF2B5EF4-FFF2-40B4-BE49-F238E27FC236}">
                  <a16:creationId xmlns:a16="http://schemas.microsoft.com/office/drawing/2014/main" id="{3D1B7915-71A3-3483-F1C5-77DFAD0891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854" t="40181" r="40751" b="11115"/>
            <a:stretch/>
          </xdr:blipFill>
          <xdr:spPr bwMode="auto">
            <a:xfrm>
              <a:off x="3829050" y="21802725"/>
              <a:ext cx="2012950" cy="2743200"/>
            </a:xfrm>
            <a:prstGeom prst="rect">
              <a:avLst/>
            </a:prstGeom>
            <a:ln>
              <a:noFill/>
            </a:ln>
            <a:extLst>
              <a:ext uri="{53640926-AAD7-44D8-BBD7-CCE9431645EC}">
                <a14:shadowObscured xmlns:a14="http://schemas.microsoft.com/office/drawing/2010/main"/>
              </a:ext>
            </a:extLst>
          </xdr:spPr>
        </xdr:pic>
        <xdr:sp macro="" textlink="">
          <xdr:nvSpPr>
            <xdr:cNvPr id="19" name="Rectangle 18">
              <a:extLst>
                <a:ext uri="{FF2B5EF4-FFF2-40B4-BE49-F238E27FC236}">
                  <a16:creationId xmlns:a16="http://schemas.microsoft.com/office/drawing/2014/main" id="{E04B7322-0A82-6C1A-3E18-FC3079B7DEF4}"/>
                </a:ext>
              </a:extLst>
            </xdr:cNvPr>
            <xdr:cNvSpPr/>
          </xdr:nvSpPr>
          <xdr:spPr>
            <a:xfrm>
              <a:off x="5591175" y="23498175"/>
              <a:ext cx="224790" cy="2387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5" name="Picture 4">
            <a:extLst>
              <a:ext uri="{FF2B5EF4-FFF2-40B4-BE49-F238E27FC236}">
                <a16:creationId xmlns:a16="http://schemas.microsoft.com/office/drawing/2014/main" id="{80C592C6-E61E-C927-B98F-B3608021567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8622" b="20131"/>
          <a:stretch/>
        </xdr:blipFill>
        <xdr:spPr bwMode="auto">
          <a:xfrm>
            <a:off x="14071146" y="4957082"/>
            <a:ext cx="3437675" cy="1020535"/>
          </a:xfrm>
          <a:prstGeom prst="rect">
            <a:avLst/>
          </a:prstGeom>
          <a:noFill/>
          <a:ln>
            <a:noFill/>
          </a:ln>
        </xdr:spPr>
      </xdr:pic>
      <xdr:grpSp>
        <xdr:nvGrpSpPr>
          <xdr:cNvPr id="6" name="Group 5">
            <a:extLst>
              <a:ext uri="{FF2B5EF4-FFF2-40B4-BE49-F238E27FC236}">
                <a16:creationId xmlns:a16="http://schemas.microsoft.com/office/drawing/2014/main" id="{25508B3A-0B21-E090-15CE-410055EA6E53}"/>
              </a:ext>
            </a:extLst>
          </xdr:cNvPr>
          <xdr:cNvGrpSpPr/>
        </xdr:nvGrpSpPr>
        <xdr:grpSpPr>
          <a:xfrm>
            <a:off x="17792700" y="7154636"/>
            <a:ext cx="1966504" cy="2774496"/>
            <a:chOff x="3771900" y="25974675"/>
            <a:chExt cx="1958340" cy="2743200"/>
          </a:xfrm>
        </xdr:grpSpPr>
        <xdr:pic>
          <xdr:nvPicPr>
            <xdr:cNvPr id="16" name="Picture 15" descr="Graphical user interface, table, Excel&#10;&#10;Description automatically generated">
              <a:extLst>
                <a:ext uri="{FF2B5EF4-FFF2-40B4-BE49-F238E27FC236}">
                  <a16:creationId xmlns:a16="http://schemas.microsoft.com/office/drawing/2014/main" id="{0B58BCF2-C3AF-21D9-44AF-4A40EE2CFF8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929" t="39939" r="56250" b="11295"/>
            <a:stretch/>
          </xdr:blipFill>
          <xdr:spPr bwMode="auto">
            <a:xfrm>
              <a:off x="3771900" y="25974675"/>
              <a:ext cx="1958340" cy="2743200"/>
            </a:xfrm>
            <a:prstGeom prst="rect">
              <a:avLst/>
            </a:prstGeom>
            <a:ln>
              <a:noFill/>
            </a:ln>
            <a:extLst>
              <a:ext uri="{53640926-AAD7-44D8-BBD7-CCE9431645EC}">
                <a14:shadowObscured xmlns:a14="http://schemas.microsoft.com/office/drawing/2010/main"/>
              </a:ext>
            </a:extLst>
          </xdr:spPr>
        </xdr:pic>
        <xdr:sp macro="" textlink="">
          <xdr:nvSpPr>
            <xdr:cNvPr id="17" name="Rectangle 16">
              <a:extLst>
                <a:ext uri="{FF2B5EF4-FFF2-40B4-BE49-F238E27FC236}">
                  <a16:creationId xmlns:a16="http://schemas.microsoft.com/office/drawing/2014/main" id="{F5BFF8D5-48EC-31B0-92EA-2D2604C851CA}"/>
                </a:ext>
              </a:extLst>
            </xdr:cNvPr>
            <xdr:cNvSpPr/>
          </xdr:nvSpPr>
          <xdr:spPr>
            <a:xfrm>
              <a:off x="5572124" y="27717750"/>
              <a:ext cx="158115"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7" name="Picture 6">
            <a:extLst>
              <a:ext uri="{FF2B5EF4-FFF2-40B4-BE49-F238E27FC236}">
                <a16:creationId xmlns:a16="http://schemas.microsoft.com/office/drawing/2014/main" id="{9776CA9F-9623-B2C6-DA67-A6679864585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9102" b="20131"/>
          <a:stretch/>
        </xdr:blipFill>
        <xdr:spPr bwMode="auto">
          <a:xfrm>
            <a:off x="14042571" y="10243457"/>
            <a:ext cx="3635829" cy="1085850"/>
          </a:xfrm>
          <a:prstGeom prst="rect">
            <a:avLst/>
          </a:prstGeom>
          <a:noFill/>
          <a:ln>
            <a:noFill/>
          </a:ln>
        </xdr:spPr>
      </xdr:pic>
      <xdr:grpSp>
        <xdr:nvGrpSpPr>
          <xdr:cNvPr id="8" name="Group 7">
            <a:extLst>
              <a:ext uri="{FF2B5EF4-FFF2-40B4-BE49-F238E27FC236}">
                <a16:creationId xmlns:a16="http://schemas.microsoft.com/office/drawing/2014/main" id="{220F70D7-AE94-9E11-F38F-D2FCE9828556}"/>
              </a:ext>
            </a:extLst>
          </xdr:cNvPr>
          <xdr:cNvGrpSpPr/>
        </xdr:nvGrpSpPr>
        <xdr:grpSpPr>
          <a:xfrm>
            <a:off x="17621250" y="12262757"/>
            <a:ext cx="2145574" cy="2743200"/>
            <a:chOff x="3705225" y="30946725"/>
            <a:chExt cx="2137410" cy="2743200"/>
          </a:xfrm>
        </xdr:grpSpPr>
        <xdr:pic>
          <xdr:nvPicPr>
            <xdr:cNvPr id="14" name="Picture 13" descr="Table, Excel&#10;&#10;Description automatically generated">
              <a:extLst>
                <a:ext uri="{FF2B5EF4-FFF2-40B4-BE49-F238E27FC236}">
                  <a16:creationId xmlns:a16="http://schemas.microsoft.com/office/drawing/2014/main" id="{1E54474C-D382-A728-13E1-8979509274A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9724" t="43973" r="38343" b="11125"/>
            <a:stretch/>
          </xdr:blipFill>
          <xdr:spPr bwMode="auto">
            <a:xfrm>
              <a:off x="3705225" y="30946725"/>
              <a:ext cx="2137410" cy="2743200"/>
            </a:xfrm>
            <a:prstGeom prst="rect">
              <a:avLst/>
            </a:prstGeom>
            <a:ln>
              <a:noFill/>
            </a:ln>
            <a:extLst>
              <a:ext uri="{53640926-AAD7-44D8-BBD7-CCE9431645EC}">
                <a14:shadowObscured xmlns:a14="http://schemas.microsoft.com/office/drawing/2010/main"/>
              </a:ext>
            </a:extLst>
          </xdr:spPr>
        </xdr:pic>
        <xdr:sp macro="" textlink="">
          <xdr:nvSpPr>
            <xdr:cNvPr id="15" name="Rectangle 14">
              <a:extLst>
                <a:ext uri="{FF2B5EF4-FFF2-40B4-BE49-F238E27FC236}">
                  <a16:creationId xmlns:a16="http://schemas.microsoft.com/office/drawing/2014/main" id="{1A868A66-4142-3C40-8933-2A06D35F9031}"/>
                </a:ext>
              </a:extLst>
            </xdr:cNvPr>
            <xdr:cNvSpPr/>
          </xdr:nvSpPr>
          <xdr:spPr>
            <a:xfrm>
              <a:off x="5648325" y="32594550"/>
              <a:ext cx="186690"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9" name="Picture 8">
            <a:extLst>
              <a:ext uri="{FF2B5EF4-FFF2-40B4-BE49-F238E27FC236}">
                <a16:creationId xmlns:a16="http://schemas.microsoft.com/office/drawing/2014/main" id="{436BF36D-C5FE-579B-8BEE-C9B7E270945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02" t="10344" r="38302"/>
          <a:stretch/>
        </xdr:blipFill>
        <xdr:spPr bwMode="auto">
          <a:xfrm>
            <a:off x="14052096" y="15225032"/>
            <a:ext cx="3588204" cy="1073150"/>
          </a:xfrm>
          <a:prstGeom prst="rect">
            <a:avLst/>
          </a:prstGeom>
          <a:noFill/>
          <a:ln>
            <a:noFill/>
          </a:ln>
        </xdr:spPr>
      </xdr:pic>
      <xdr:grpSp>
        <xdr:nvGrpSpPr>
          <xdr:cNvPr id="10" name="Group 9">
            <a:extLst>
              <a:ext uri="{FF2B5EF4-FFF2-40B4-BE49-F238E27FC236}">
                <a16:creationId xmlns:a16="http://schemas.microsoft.com/office/drawing/2014/main" id="{7C13B71E-9D0D-6FBB-B2AA-62487B958F00}"/>
              </a:ext>
            </a:extLst>
          </xdr:cNvPr>
          <xdr:cNvGrpSpPr/>
        </xdr:nvGrpSpPr>
        <xdr:grpSpPr>
          <a:xfrm>
            <a:off x="17868899" y="17053831"/>
            <a:ext cx="1993809" cy="2600326"/>
            <a:chOff x="3724275" y="36061650"/>
            <a:chExt cx="2147570" cy="2743200"/>
          </a:xfrm>
        </xdr:grpSpPr>
        <xdr:pic>
          <xdr:nvPicPr>
            <xdr:cNvPr id="12" name="Picture 11" descr="Table&#10;&#10;Description automatically generated">
              <a:extLst>
                <a:ext uri="{FF2B5EF4-FFF2-40B4-BE49-F238E27FC236}">
                  <a16:creationId xmlns:a16="http://schemas.microsoft.com/office/drawing/2014/main" id="{7599A200-234F-540B-40A3-EDE5EBD13C8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7765" t="44004" r="20169" b="11038"/>
            <a:stretch/>
          </xdr:blipFill>
          <xdr:spPr bwMode="auto">
            <a:xfrm>
              <a:off x="3724275" y="36061650"/>
              <a:ext cx="2147570" cy="2743200"/>
            </a:xfrm>
            <a:prstGeom prst="rect">
              <a:avLst/>
            </a:prstGeom>
            <a:ln>
              <a:noFill/>
            </a:ln>
            <a:extLst>
              <a:ext uri="{53640926-AAD7-44D8-BBD7-CCE9431645EC}">
                <a14:shadowObscured xmlns:a14="http://schemas.microsoft.com/office/drawing/2010/main"/>
              </a:ext>
            </a:extLst>
          </xdr:spPr>
        </xdr:pic>
        <xdr:sp macro="" textlink="">
          <xdr:nvSpPr>
            <xdr:cNvPr id="13" name="Rectangle 12">
              <a:extLst>
                <a:ext uri="{FF2B5EF4-FFF2-40B4-BE49-F238E27FC236}">
                  <a16:creationId xmlns:a16="http://schemas.microsoft.com/office/drawing/2014/main" id="{992900DF-1671-EB3C-B9D8-71AECA1DF2E0}"/>
                </a:ext>
              </a:extLst>
            </xdr:cNvPr>
            <xdr:cNvSpPr/>
          </xdr:nvSpPr>
          <xdr:spPr>
            <a:xfrm>
              <a:off x="5629275" y="37652325"/>
              <a:ext cx="224790" cy="238760"/>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11" name="Picture 10">
            <a:extLst>
              <a:ext uri="{FF2B5EF4-FFF2-40B4-BE49-F238E27FC236}">
                <a16:creationId xmlns:a16="http://schemas.microsoft.com/office/drawing/2014/main" id="{2CB27295-B7E3-5EA5-674E-B86C5E8CBCEA}"/>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39131" b="20454"/>
          <a:stretch/>
        </xdr:blipFill>
        <xdr:spPr bwMode="auto">
          <a:xfrm>
            <a:off x="14071146" y="19625582"/>
            <a:ext cx="3633924" cy="108077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0</xdr:row>
      <xdr:rowOff>0</xdr:rowOff>
    </xdr:from>
    <xdr:to>
      <xdr:col>20</xdr:col>
      <xdr:colOff>581025</xdr:colOff>
      <xdr:row>120</xdr:row>
      <xdr:rowOff>47626</xdr:rowOff>
    </xdr:to>
    <xdr:grpSp>
      <xdr:nvGrpSpPr>
        <xdr:cNvPr id="2" name="Group 1">
          <a:extLst>
            <a:ext uri="{FF2B5EF4-FFF2-40B4-BE49-F238E27FC236}">
              <a16:creationId xmlns:a16="http://schemas.microsoft.com/office/drawing/2014/main" id="{48C2A419-6AC4-473B-9036-37098CA9EF05}"/>
            </a:ext>
          </a:extLst>
        </xdr:cNvPr>
        <xdr:cNvGrpSpPr/>
      </xdr:nvGrpSpPr>
      <xdr:grpSpPr>
        <a:xfrm>
          <a:off x="14649450" y="0"/>
          <a:ext cx="6067425" cy="24488776"/>
          <a:chOff x="13966371" y="47623"/>
          <a:chExt cx="6091918" cy="24454758"/>
        </a:xfrm>
      </xdr:grpSpPr>
      <xdr:sp macro="" textlink="">
        <xdr:nvSpPr>
          <xdr:cNvPr id="3" name="TextBox 2">
            <a:extLst>
              <a:ext uri="{FF2B5EF4-FFF2-40B4-BE49-F238E27FC236}">
                <a16:creationId xmlns:a16="http://schemas.microsoft.com/office/drawing/2014/main" id="{12194E75-FD94-FF17-8D79-AEDF58A55711}"/>
              </a:ext>
            </a:extLst>
          </xdr:cNvPr>
          <xdr:cNvSpPr txBox="1"/>
        </xdr:nvSpPr>
        <xdr:spPr>
          <a:xfrm>
            <a:off x="13966371" y="47623"/>
            <a:ext cx="6091918" cy="24454758"/>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Hazard Tabs</a:t>
            </a:r>
          </a:p>
          <a:p>
            <a:r>
              <a:rPr lang="en-US" sz="1100"/>
              <a:t>1.  Each Hazard tab has been populated with the hazard (cell B2) and relative risk (cell E2) from the InputHazard tab and with population data based on the InputCounties tab (Columns C and D).   </a:t>
            </a:r>
          </a:p>
          <a:p>
            <a:endParaRPr lang="en-US" sz="1100"/>
          </a:p>
          <a:p>
            <a:r>
              <a:rPr lang="en-US" sz="1100"/>
              <a:t>2.  Population data from the InputCounties tab appears in Columns C (as a percentage) and D (as a number) of the total population of the selected counties.  Do not edit or replace this information.</a:t>
            </a:r>
          </a:p>
          <a:p>
            <a:endParaRPr lang="en-US" sz="1100"/>
          </a:p>
          <a:p>
            <a:r>
              <a:rPr lang="en-US" sz="1100"/>
              <a:t>3.  The next four columns will require manual input, by using the dropdown arrows next to each cell. Each dropdown provides a list of five options. Users should use their team’s best judgment to select the answer that best fits the prompt questions for that specific health equity consideration characteristic. </a:t>
            </a:r>
          </a:p>
          <a:p>
            <a:endParaRPr lang="en-US" sz="1100"/>
          </a:p>
          <a:p>
            <a:r>
              <a:rPr lang="en-US" sz="1100" b="1" i="1"/>
              <a:t>Column E: Estimated impact  </a:t>
            </a:r>
          </a:p>
          <a:p>
            <a:r>
              <a:rPr lang="en-US" sz="1100"/>
              <a:t>4.  Assess “what impact would incoming patients from the </a:t>
            </a:r>
          </a:p>
          <a:p>
            <a:r>
              <a:rPr lang="en-US" sz="1100"/>
              <a:t>identified groups have on our ability to respond to the</a:t>
            </a:r>
          </a:p>
          <a:p>
            <a:r>
              <a:rPr lang="en-US" sz="1100"/>
              <a:t>specific hazard?”</a:t>
            </a:r>
          </a:p>
          <a:p>
            <a:endParaRPr lang="en-US" sz="1100"/>
          </a:p>
          <a:p>
            <a:r>
              <a:rPr lang="en-US" sz="1100"/>
              <a:t>This can be thought of as what percentage of the population</a:t>
            </a:r>
          </a:p>
          <a:p>
            <a:r>
              <a:rPr lang="en-US" sz="1100"/>
              <a:t>of the identified group will likely seek medical care or need</a:t>
            </a:r>
          </a:p>
          <a:p>
            <a:r>
              <a:rPr lang="en-US" sz="1100"/>
              <a:t>medical treatment or support from your facility or</a:t>
            </a:r>
          </a:p>
          <a:p>
            <a:r>
              <a:rPr lang="en-US" sz="1100"/>
              <a:t>organization because of the hazard event.</a:t>
            </a:r>
          </a:p>
          <a:p>
            <a:endParaRPr lang="en-US" sz="1100"/>
          </a:p>
          <a:p>
            <a:r>
              <a:rPr lang="en-US" sz="1100"/>
              <a:t>For each yellow cell in Column E, click the dropdown arrow </a:t>
            </a:r>
          </a:p>
          <a:p>
            <a:r>
              <a:rPr lang="en-US" sz="1100"/>
              <a:t>and enter the expected impact: </a:t>
            </a:r>
          </a:p>
          <a:p>
            <a:r>
              <a:rPr lang="en-US" sz="1100"/>
              <a:t>    -  No impact</a:t>
            </a:r>
          </a:p>
          <a:p>
            <a:r>
              <a:rPr lang="en-US" sz="1100"/>
              <a:t>    -  Low impact</a:t>
            </a:r>
          </a:p>
          <a:p>
            <a:r>
              <a:rPr lang="en-US" sz="1100"/>
              <a:t>    -  Moderate impact</a:t>
            </a:r>
          </a:p>
          <a:p>
            <a:r>
              <a:rPr lang="en-US" sz="1100"/>
              <a:t>    -  High impact </a:t>
            </a:r>
          </a:p>
          <a:p>
            <a:r>
              <a:rPr lang="en-US" sz="1100"/>
              <a:t>    -  Very High impact  </a:t>
            </a:r>
          </a:p>
          <a:p>
            <a:endParaRPr lang="en-US" sz="1100"/>
          </a:p>
          <a:p>
            <a:endParaRPr lang="en-US" sz="1100"/>
          </a:p>
          <a:p>
            <a:endParaRPr lang="en-US" sz="1100"/>
          </a:p>
          <a:p>
            <a:endParaRPr lang="en-US" sz="1100"/>
          </a:p>
          <a:p>
            <a:endParaRPr lang="en-US" sz="1100"/>
          </a:p>
          <a:p>
            <a:endParaRPr lang="en-US" sz="1100"/>
          </a:p>
          <a:p>
            <a:endParaRPr lang="en-US" sz="1100"/>
          </a:p>
          <a:p>
            <a:r>
              <a:rPr lang="en-US" sz="1100" b="1" i="1"/>
              <a:t>Columns F, G, and H: Mitigation </a:t>
            </a:r>
          </a:p>
          <a:p>
            <a:r>
              <a:rPr lang="en-US" sz="1100"/>
              <a:t>Assess your mitigation efforts (Columns F, G, and H).  These columns relate mitigation efforts that your organization and/or community have enacted to reduce the impact of the hazard on the selected population.</a:t>
            </a:r>
          </a:p>
          <a:p>
            <a:endParaRPr lang="en-US" sz="1100"/>
          </a:p>
          <a:p>
            <a:r>
              <a:rPr lang="en-US" sz="1100" b="1" u="sng"/>
              <a:t>Column F: Resources</a:t>
            </a:r>
          </a:p>
          <a:p>
            <a:r>
              <a:rPr lang="en-US" sz="1100"/>
              <a:t>5.  Answer “How confident are you that your organization</a:t>
            </a:r>
          </a:p>
          <a:p>
            <a:r>
              <a:rPr lang="en-US" sz="1100"/>
              <a:t>has the resources to manage the estimated impact (from </a:t>
            </a:r>
          </a:p>
          <a:p>
            <a:r>
              <a:rPr lang="en-US" sz="1100"/>
              <a:t>Column E)?”</a:t>
            </a:r>
          </a:p>
          <a:p>
            <a:endParaRPr lang="en-US" sz="1100"/>
          </a:p>
          <a:p>
            <a:r>
              <a:rPr lang="en-US" sz="1100"/>
              <a:t>Resources include, but are not necessarily limited to, how</a:t>
            </a:r>
          </a:p>
          <a:p>
            <a:r>
              <a:rPr lang="en-US" sz="1100"/>
              <a:t>much planning the user’s facility or organization has done</a:t>
            </a:r>
          </a:p>
          <a:p>
            <a:r>
              <a:rPr lang="en-US" sz="1100"/>
              <a:t>to prepare, the types and quantities of supplies on hand, </a:t>
            </a:r>
          </a:p>
          <a:p>
            <a:r>
              <a:rPr lang="en-US" sz="1100"/>
              <a:t>staff availability, and MOUs to obtain supplies and/or staff</a:t>
            </a:r>
          </a:p>
          <a:p>
            <a:r>
              <a:rPr lang="en-US" sz="1100"/>
              <a:t>support. These answers may or may not vary depending</a:t>
            </a:r>
          </a:p>
          <a:p>
            <a:r>
              <a:rPr lang="en-US" sz="1100"/>
              <a:t>on the equity consideration characteristic being assessed.</a:t>
            </a:r>
          </a:p>
          <a:p>
            <a:endParaRPr lang="en-US" sz="1100"/>
          </a:p>
          <a:p>
            <a:r>
              <a:rPr lang="en-US" sz="1100"/>
              <a:t>6.  For each yellow cell in Column F, click the dropdown </a:t>
            </a:r>
          </a:p>
          <a:p>
            <a:r>
              <a:rPr lang="en-US" sz="1100"/>
              <a:t>arrow and enter the expected impact: </a:t>
            </a:r>
          </a:p>
          <a:p>
            <a:r>
              <a:rPr lang="en-US" sz="1100"/>
              <a:t>    -  Not at all confident</a:t>
            </a:r>
          </a:p>
          <a:p>
            <a:r>
              <a:rPr lang="en-US" sz="1100"/>
              <a:t>    -  Slightly confident</a:t>
            </a:r>
          </a:p>
          <a:p>
            <a:r>
              <a:rPr lang="en-US" sz="1100"/>
              <a:t>    -  Somewhat confident </a:t>
            </a:r>
          </a:p>
          <a:p>
            <a:r>
              <a:rPr lang="en-US" sz="1100"/>
              <a:t>    -  Fairly confident </a:t>
            </a:r>
          </a:p>
          <a:p>
            <a:r>
              <a:rPr lang="en-US" sz="1100"/>
              <a:t>    -  Completely confident</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b="1" u="sng"/>
              <a:t>Column G: Responsibility</a:t>
            </a:r>
          </a:p>
          <a:p>
            <a:r>
              <a:rPr lang="en-US" sz="1100"/>
              <a:t>7.  Determine “How responsible is your organization to address the needs of the identified group before an emergency?”</a:t>
            </a:r>
          </a:p>
          <a:p>
            <a:endParaRPr lang="en-US" sz="1100"/>
          </a:p>
          <a:p>
            <a:r>
              <a:rPr lang="en-US" sz="1100"/>
              <a:t>Answering this question requires some upstream thinking.</a:t>
            </a:r>
          </a:p>
          <a:p>
            <a:r>
              <a:rPr lang="en-US" sz="1100"/>
              <a:t>For example, a Federally Qualified Health Center (FQHC)</a:t>
            </a:r>
          </a:p>
          <a:p>
            <a:r>
              <a:rPr lang="en-US" sz="1100"/>
              <a:t>may have more responsibility to address the needs of</a:t>
            </a:r>
          </a:p>
          <a:p>
            <a:r>
              <a:rPr lang="en-US" sz="1100"/>
              <a:t>those below the 150% poverty rate before a hazard event</a:t>
            </a:r>
          </a:p>
          <a:p>
            <a:r>
              <a:rPr lang="en-US" sz="1100"/>
              <a:t>than a private, Continuing Care Retirement Community</a:t>
            </a:r>
          </a:p>
          <a:p>
            <a:r>
              <a:rPr lang="en-US" sz="1100"/>
              <a:t>(CCRC). This example may be extreme but is used for</a:t>
            </a:r>
          </a:p>
          <a:p>
            <a:r>
              <a:rPr lang="en-US" sz="1100"/>
              <a:t>illustrative purposes. These answers may or may not vary</a:t>
            </a:r>
          </a:p>
          <a:p>
            <a:r>
              <a:rPr lang="en-US" sz="1100"/>
              <a:t>depending on the equity consideration characteristic being</a:t>
            </a:r>
          </a:p>
          <a:p>
            <a:r>
              <a:rPr lang="en-US" sz="1100"/>
              <a:t>assessed.</a:t>
            </a:r>
          </a:p>
          <a:p>
            <a:endParaRPr lang="en-US" sz="1100"/>
          </a:p>
          <a:p>
            <a:r>
              <a:rPr lang="en-US" sz="1100"/>
              <a:t>8.  For each yellow cell in Column G, click the dropdown</a:t>
            </a:r>
          </a:p>
          <a:p>
            <a:r>
              <a:rPr lang="en-US" sz="1100"/>
              <a:t>arrow and enter the expected impact: </a:t>
            </a:r>
          </a:p>
          <a:p>
            <a:r>
              <a:rPr lang="en-US" sz="1100"/>
              <a:t>    -  Not at all responsible</a:t>
            </a:r>
          </a:p>
          <a:p>
            <a:r>
              <a:rPr lang="en-US" sz="1100"/>
              <a:t>    -  Slightly responsible</a:t>
            </a:r>
          </a:p>
          <a:p>
            <a:r>
              <a:rPr lang="en-US" sz="1100"/>
              <a:t>    -  Somewhat responsible</a:t>
            </a:r>
          </a:p>
          <a:p>
            <a:r>
              <a:rPr lang="en-US" sz="1100"/>
              <a:t>    -  Fairly responsible</a:t>
            </a:r>
          </a:p>
          <a:p>
            <a:r>
              <a:rPr lang="en-US" sz="1100"/>
              <a:t>    -  Completely responsible</a:t>
            </a:r>
          </a:p>
          <a:p>
            <a:endParaRPr lang="en-US" sz="1100"/>
          </a:p>
          <a:p>
            <a:endParaRPr lang="en-US" sz="1100"/>
          </a:p>
          <a:p>
            <a:endParaRPr lang="en-US" sz="1100"/>
          </a:p>
          <a:p>
            <a:endParaRPr lang="en-US" sz="1100"/>
          </a:p>
          <a:p>
            <a:endParaRPr lang="en-US" sz="1100"/>
          </a:p>
          <a:p>
            <a:endParaRPr lang="en-US" sz="1100"/>
          </a:p>
          <a:p>
            <a:endParaRPr lang="en-US" sz="1100"/>
          </a:p>
          <a:p>
            <a:r>
              <a:rPr lang="en-US" sz="1100"/>
              <a:t>*Please note that the relative percentages are reversed in the calculations to reflect an increased equity burden with increasing responsibility.</a:t>
            </a:r>
          </a:p>
          <a:p>
            <a:endParaRPr lang="en-US" sz="1100"/>
          </a:p>
          <a:p>
            <a:r>
              <a:rPr lang="en-US" sz="1100" b="1" u="sng"/>
              <a:t>Column H: Community Connections</a:t>
            </a:r>
          </a:p>
          <a:p>
            <a:r>
              <a:rPr lang="en-US" sz="1100"/>
              <a:t>9.  Answer “How confident are you that your organization can</a:t>
            </a:r>
          </a:p>
          <a:p>
            <a:r>
              <a:rPr lang="en-US" sz="1100"/>
              <a:t>connect these patients to the right community resources?”</a:t>
            </a:r>
          </a:p>
          <a:p>
            <a:endParaRPr lang="en-US" sz="1100"/>
          </a:p>
          <a:p>
            <a:r>
              <a:rPr lang="en-US" sz="1100"/>
              <a:t>These community resources include agencies that serve,</a:t>
            </a:r>
          </a:p>
          <a:p>
            <a:r>
              <a:rPr lang="en-US" sz="1100"/>
              <a:t>support, and work with the identified group from each row. </a:t>
            </a:r>
          </a:p>
          <a:p>
            <a:r>
              <a:rPr lang="en-US" sz="1100"/>
              <a:t>These answers may or may not vary depending on the equity</a:t>
            </a:r>
          </a:p>
          <a:p>
            <a:r>
              <a:rPr lang="en-US" sz="1100"/>
              <a:t>consideration characteristic being assessed.</a:t>
            </a:r>
          </a:p>
          <a:p>
            <a:endParaRPr lang="en-US" sz="1100"/>
          </a:p>
          <a:p>
            <a:r>
              <a:rPr lang="en-US" sz="1100"/>
              <a:t>10.  For each yellow cell in Column H, click the dropdown</a:t>
            </a:r>
          </a:p>
          <a:p>
            <a:r>
              <a:rPr lang="en-US" sz="1100"/>
              <a:t>arrow and enter the expected impact: </a:t>
            </a:r>
          </a:p>
          <a:p>
            <a:r>
              <a:rPr lang="en-US" sz="1100"/>
              <a:t>    -  Not at all confident</a:t>
            </a:r>
          </a:p>
          <a:p>
            <a:r>
              <a:rPr lang="en-US" sz="1100"/>
              <a:t>    -  Slightly confident</a:t>
            </a:r>
          </a:p>
          <a:p>
            <a:r>
              <a:rPr lang="en-US" sz="1100"/>
              <a:t>    -  Somewhat confident </a:t>
            </a:r>
          </a:p>
          <a:p>
            <a:r>
              <a:rPr lang="en-US" sz="1100"/>
              <a:t>    -  Fairly confident </a:t>
            </a:r>
          </a:p>
          <a:p>
            <a:r>
              <a:rPr lang="en-US" sz="1100"/>
              <a:t>    -  Completely confident</a:t>
            </a:r>
          </a:p>
          <a:p>
            <a:endParaRPr lang="en-US" sz="1100"/>
          </a:p>
          <a:p>
            <a:endParaRPr lang="en-US" sz="1100"/>
          </a:p>
          <a:p>
            <a:endParaRPr lang="en-US" sz="1100"/>
          </a:p>
          <a:p>
            <a:endParaRPr lang="en-US" sz="1100"/>
          </a:p>
          <a:p>
            <a:endParaRPr lang="en-US" sz="1100"/>
          </a:p>
          <a:p>
            <a:endParaRPr lang="en-US" sz="1100"/>
          </a:p>
          <a:p>
            <a:endParaRPr lang="en-US" sz="1100"/>
          </a:p>
          <a:p>
            <a:endParaRPr lang="en-US" sz="1100" b="1" u="sng"/>
          </a:p>
          <a:p>
            <a:r>
              <a:rPr lang="en-US" sz="1100" b="1" u="sng"/>
              <a:t>Column I: Severity</a:t>
            </a:r>
          </a:p>
          <a:p>
            <a:r>
              <a:rPr lang="en-US" sz="1100"/>
              <a:t>Severity is automatically calculated and is a function of the population size (Column C) of the specific equity consideration as a percentage, the estimated impact (Column E), and mitigation efforts (Columns F, G, and H). </a:t>
            </a:r>
          </a:p>
          <a:p>
            <a:endParaRPr lang="en-US" sz="1100"/>
          </a:p>
          <a:p>
            <a:r>
              <a:rPr lang="en-US" sz="1100"/>
              <a:t>Column J: Relative Health Equity Risk</a:t>
            </a:r>
          </a:p>
          <a:p>
            <a:r>
              <a:rPr lang="en-US" sz="1100"/>
              <a:t>Relative Health Equity Risk is automatically calculated and is a function of the Relative Risk score from the InputHazards worksheet. </a:t>
            </a:r>
          </a:p>
          <a:p>
            <a:endParaRPr lang="en-US" sz="1100"/>
          </a:p>
          <a:p>
            <a:r>
              <a:rPr lang="en-US" sz="1100"/>
              <a:t>11.  Review your results in Column J.  The higher percentage, the more likely these populations are likely to experience negative health outcomes during a potential hazard and the more effort should be put into preparedness plans in advance of, and recovery support after, an event.</a:t>
            </a:r>
          </a:p>
          <a:p>
            <a:endParaRPr lang="en-US" sz="1100"/>
          </a:p>
          <a:p>
            <a:r>
              <a:rPr lang="en-US" sz="1100"/>
              <a:t>It is important to note that: the final results are intended to show *RELATIVE* risk only; the calculated percentages are meaningless independently and only show whether an identified health equity characteristic is at higher or lower risk than another. The percentage does not indicate the degree of risk.  </a:t>
            </a:r>
          </a:p>
          <a:p>
            <a:endParaRPr lang="en-US" sz="1100"/>
          </a:p>
          <a:p>
            <a:r>
              <a:rPr lang="en-US" sz="1100"/>
              <a:t>12.  </a:t>
            </a:r>
            <a:r>
              <a:rPr lang="en-US" sz="1100">
                <a:solidFill>
                  <a:schemeClr val="dk1"/>
                </a:solidFill>
                <a:effectLst/>
                <a:latin typeface="+mn-lt"/>
                <a:ea typeface="+mn-ea"/>
                <a:cs typeface="+mn-cs"/>
              </a:rPr>
              <a:t>After finishing the Hazard 4 Worksheet, move to the Hazard 5</a:t>
            </a:r>
            <a:r>
              <a:rPr lang="en-US" sz="1100" baseline="0">
                <a:solidFill>
                  <a:schemeClr val="dk1"/>
                </a:solidFill>
                <a:effectLst/>
                <a:latin typeface="+mn-lt"/>
                <a:ea typeface="+mn-ea"/>
                <a:cs typeface="+mn-cs"/>
              </a:rPr>
              <a:t> Worksheet</a:t>
            </a:r>
            <a:r>
              <a:rPr lang="en-US" sz="1100">
                <a:solidFill>
                  <a:schemeClr val="dk1"/>
                </a:solidFill>
                <a:effectLst/>
                <a:latin typeface="+mn-lt"/>
                <a:ea typeface="+mn-ea"/>
                <a:cs typeface="+mn-cs"/>
              </a:rPr>
              <a:t>, or go to the Summary Results Worksheet.  </a:t>
            </a:r>
            <a:endParaRPr lang="en-US" sz="1100"/>
          </a:p>
        </xdr:txBody>
      </xdr:sp>
      <xdr:grpSp>
        <xdr:nvGrpSpPr>
          <xdr:cNvPr id="4" name="Group 3">
            <a:extLst>
              <a:ext uri="{FF2B5EF4-FFF2-40B4-BE49-F238E27FC236}">
                <a16:creationId xmlns:a16="http://schemas.microsoft.com/office/drawing/2014/main" id="{D44414C0-BF9A-D6EE-2F0A-6AE8D3E65080}"/>
              </a:ext>
            </a:extLst>
          </xdr:cNvPr>
          <xdr:cNvGrpSpPr/>
        </xdr:nvGrpSpPr>
        <xdr:grpSpPr>
          <a:xfrm>
            <a:off x="17716500" y="2166257"/>
            <a:ext cx="2021114" cy="2752725"/>
            <a:chOff x="3829050" y="21802725"/>
            <a:chExt cx="2012950" cy="2743200"/>
          </a:xfrm>
        </xdr:grpSpPr>
        <xdr:pic>
          <xdr:nvPicPr>
            <xdr:cNvPr id="18" name="Picture 17" descr="Graphical user interface, application, table, Excel&#10;&#10;Description automatically generated">
              <a:extLst>
                <a:ext uri="{FF2B5EF4-FFF2-40B4-BE49-F238E27FC236}">
                  <a16:creationId xmlns:a16="http://schemas.microsoft.com/office/drawing/2014/main" id="{1AA9FEF3-66A5-2EE6-57B3-2648A70302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854" t="40181" r="40751" b="11115"/>
            <a:stretch/>
          </xdr:blipFill>
          <xdr:spPr bwMode="auto">
            <a:xfrm>
              <a:off x="3829050" y="21802725"/>
              <a:ext cx="2012950" cy="2743200"/>
            </a:xfrm>
            <a:prstGeom prst="rect">
              <a:avLst/>
            </a:prstGeom>
            <a:ln>
              <a:noFill/>
            </a:ln>
            <a:extLst>
              <a:ext uri="{53640926-AAD7-44D8-BBD7-CCE9431645EC}">
                <a14:shadowObscured xmlns:a14="http://schemas.microsoft.com/office/drawing/2010/main"/>
              </a:ext>
            </a:extLst>
          </xdr:spPr>
        </xdr:pic>
        <xdr:sp macro="" textlink="">
          <xdr:nvSpPr>
            <xdr:cNvPr id="19" name="Rectangle 18">
              <a:extLst>
                <a:ext uri="{FF2B5EF4-FFF2-40B4-BE49-F238E27FC236}">
                  <a16:creationId xmlns:a16="http://schemas.microsoft.com/office/drawing/2014/main" id="{A590950A-721E-C88C-2D45-BE893A6022D6}"/>
                </a:ext>
              </a:extLst>
            </xdr:cNvPr>
            <xdr:cNvSpPr/>
          </xdr:nvSpPr>
          <xdr:spPr>
            <a:xfrm>
              <a:off x="5591175" y="23498175"/>
              <a:ext cx="224790" cy="2387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5" name="Picture 4">
            <a:extLst>
              <a:ext uri="{FF2B5EF4-FFF2-40B4-BE49-F238E27FC236}">
                <a16:creationId xmlns:a16="http://schemas.microsoft.com/office/drawing/2014/main" id="{C368DDAB-260E-795B-8CF0-23B8DDE53D6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8622" b="20131"/>
          <a:stretch/>
        </xdr:blipFill>
        <xdr:spPr bwMode="auto">
          <a:xfrm>
            <a:off x="14071146" y="4957082"/>
            <a:ext cx="3437675" cy="1020535"/>
          </a:xfrm>
          <a:prstGeom prst="rect">
            <a:avLst/>
          </a:prstGeom>
          <a:noFill/>
          <a:ln>
            <a:noFill/>
          </a:ln>
        </xdr:spPr>
      </xdr:pic>
      <xdr:grpSp>
        <xdr:nvGrpSpPr>
          <xdr:cNvPr id="6" name="Group 5">
            <a:extLst>
              <a:ext uri="{FF2B5EF4-FFF2-40B4-BE49-F238E27FC236}">
                <a16:creationId xmlns:a16="http://schemas.microsoft.com/office/drawing/2014/main" id="{F654F02C-0D5D-FDF7-8531-B54471844A67}"/>
              </a:ext>
            </a:extLst>
          </xdr:cNvPr>
          <xdr:cNvGrpSpPr/>
        </xdr:nvGrpSpPr>
        <xdr:grpSpPr>
          <a:xfrm>
            <a:off x="17792700" y="7154636"/>
            <a:ext cx="1966504" cy="2774496"/>
            <a:chOff x="3771900" y="25974675"/>
            <a:chExt cx="1958340" cy="2743200"/>
          </a:xfrm>
        </xdr:grpSpPr>
        <xdr:pic>
          <xdr:nvPicPr>
            <xdr:cNvPr id="16" name="Picture 15" descr="Graphical user interface, table, Excel&#10;&#10;Description automatically generated">
              <a:extLst>
                <a:ext uri="{FF2B5EF4-FFF2-40B4-BE49-F238E27FC236}">
                  <a16:creationId xmlns:a16="http://schemas.microsoft.com/office/drawing/2014/main" id="{C9D04672-C8C2-60B1-7224-838CD884F7D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929" t="39939" r="56250" b="11295"/>
            <a:stretch/>
          </xdr:blipFill>
          <xdr:spPr bwMode="auto">
            <a:xfrm>
              <a:off x="3771900" y="25974675"/>
              <a:ext cx="1958340" cy="2743200"/>
            </a:xfrm>
            <a:prstGeom prst="rect">
              <a:avLst/>
            </a:prstGeom>
            <a:ln>
              <a:noFill/>
            </a:ln>
            <a:extLst>
              <a:ext uri="{53640926-AAD7-44D8-BBD7-CCE9431645EC}">
                <a14:shadowObscured xmlns:a14="http://schemas.microsoft.com/office/drawing/2010/main"/>
              </a:ext>
            </a:extLst>
          </xdr:spPr>
        </xdr:pic>
        <xdr:sp macro="" textlink="">
          <xdr:nvSpPr>
            <xdr:cNvPr id="17" name="Rectangle 16">
              <a:extLst>
                <a:ext uri="{FF2B5EF4-FFF2-40B4-BE49-F238E27FC236}">
                  <a16:creationId xmlns:a16="http://schemas.microsoft.com/office/drawing/2014/main" id="{92DB7798-05AE-B8EE-03EB-BFD0E41ED9C5}"/>
                </a:ext>
              </a:extLst>
            </xdr:cNvPr>
            <xdr:cNvSpPr/>
          </xdr:nvSpPr>
          <xdr:spPr>
            <a:xfrm>
              <a:off x="5572124" y="27717750"/>
              <a:ext cx="158115"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7" name="Picture 6">
            <a:extLst>
              <a:ext uri="{FF2B5EF4-FFF2-40B4-BE49-F238E27FC236}">
                <a16:creationId xmlns:a16="http://schemas.microsoft.com/office/drawing/2014/main" id="{00AE899A-F07C-F131-3D1F-7F4F8D65055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9102" b="20131"/>
          <a:stretch/>
        </xdr:blipFill>
        <xdr:spPr bwMode="auto">
          <a:xfrm>
            <a:off x="14042571" y="10243457"/>
            <a:ext cx="3635829" cy="1085850"/>
          </a:xfrm>
          <a:prstGeom prst="rect">
            <a:avLst/>
          </a:prstGeom>
          <a:noFill/>
          <a:ln>
            <a:noFill/>
          </a:ln>
        </xdr:spPr>
      </xdr:pic>
      <xdr:grpSp>
        <xdr:nvGrpSpPr>
          <xdr:cNvPr id="8" name="Group 7">
            <a:extLst>
              <a:ext uri="{FF2B5EF4-FFF2-40B4-BE49-F238E27FC236}">
                <a16:creationId xmlns:a16="http://schemas.microsoft.com/office/drawing/2014/main" id="{F7252E7B-B979-0878-ED13-A34019F43E15}"/>
              </a:ext>
            </a:extLst>
          </xdr:cNvPr>
          <xdr:cNvGrpSpPr/>
        </xdr:nvGrpSpPr>
        <xdr:grpSpPr>
          <a:xfrm>
            <a:off x="17621250" y="12262757"/>
            <a:ext cx="2145574" cy="2743200"/>
            <a:chOff x="3705225" y="30946725"/>
            <a:chExt cx="2137410" cy="2743200"/>
          </a:xfrm>
        </xdr:grpSpPr>
        <xdr:pic>
          <xdr:nvPicPr>
            <xdr:cNvPr id="14" name="Picture 13" descr="Table, Excel&#10;&#10;Description automatically generated">
              <a:extLst>
                <a:ext uri="{FF2B5EF4-FFF2-40B4-BE49-F238E27FC236}">
                  <a16:creationId xmlns:a16="http://schemas.microsoft.com/office/drawing/2014/main" id="{73589A24-A325-232E-F5D8-67C18E332CB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9724" t="43973" r="38343" b="11125"/>
            <a:stretch/>
          </xdr:blipFill>
          <xdr:spPr bwMode="auto">
            <a:xfrm>
              <a:off x="3705225" y="30946725"/>
              <a:ext cx="2137410" cy="2743200"/>
            </a:xfrm>
            <a:prstGeom prst="rect">
              <a:avLst/>
            </a:prstGeom>
            <a:ln>
              <a:noFill/>
            </a:ln>
            <a:extLst>
              <a:ext uri="{53640926-AAD7-44D8-BBD7-CCE9431645EC}">
                <a14:shadowObscured xmlns:a14="http://schemas.microsoft.com/office/drawing/2010/main"/>
              </a:ext>
            </a:extLst>
          </xdr:spPr>
        </xdr:pic>
        <xdr:sp macro="" textlink="">
          <xdr:nvSpPr>
            <xdr:cNvPr id="15" name="Rectangle 14">
              <a:extLst>
                <a:ext uri="{FF2B5EF4-FFF2-40B4-BE49-F238E27FC236}">
                  <a16:creationId xmlns:a16="http://schemas.microsoft.com/office/drawing/2014/main" id="{C4C46896-FEC3-6B0D-A1E4-9B2275848BFA}"/>
                </a:ext>
              </a:extLst>
            </xdr:cNvPr>
            <xdr:cNvSpPr/>
          </xdr:nvSpPr>
          <xdr:spPr>
            <a:xfrm>
              <a:off x="5648325" y="32594550"/>
              <a:ext cx="186690"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9" name="Picture 8">
            <a:extLst>
              <a:ext uri="{FF2B5EF4-FFF2-40B4-BE49-F238E27FC236}">
                <a16:creationId xmlns:a16="http://schemas.microsoft.com/office/drawing/2014/main" id="{35A03D9F-AFB4-B8E3-587A-1686D66D6B4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02" t="10344" r="38302"/>
          <a:stretch/>
        </xdr:blipFill>
        <xdr:spPr bwMode="auto">
          <a:xfrm>
            <a:off x="14052096" y="15225032"/>
            <a:ext cx="3588204" cy="1073150"/>
          </a:xfrm>
          <a:prstGeom prst="rect">
            <a:avLst/>
          </a:prstGeom>
          <a:noFill/>
          <a:ln>
            <a:noFill/>
          </a:ln>
        </xdr:spPr>
      </xdr:pic>
      <xdr:grpSp>
        <xdr:nvGrpSpPr>
          <xdr:cNvPr id="10" name="Group 9">
            <a:extLst>
              <a:ext uri="{FF2B5EF4-FFF2-40B4-BE49-F238E27FC236}">
                <a16:creationId xmlns:a16="http://schemas.microsoft.com/office/drawing/2014/main" id="{534D8207-26A7-DDA5-F408-1FB5A94BADD4}"/>
              </a:ext>
            </a:extLst>
          </xdr:cNvPr>
          <xdr:cNvGrpSpPr/>
        </xdr:nvGrpSpPr>
        <xdr:grpSpPr>
          <a:xfrm>
            <a:off x="17868899" y="17053831"/>
            <a:ext cx="1993809" cy="2600326"/>
            <a:chOff x="3724275" y="36061650"/>
            <a:chExt cx="2147570" cy="2743200"/>
          </a:xfrm>
        </xdr:grpSpPr>
        <xdr:pic>
          <xdr:nvPicPr>
            <xdr:cNvPr id="12" name="Picture 11" descr="Table&#10;&#10;Description automatically generated">
              <a:extLst>
                <a:ext uri="{FF2B5EF4-FFF2-40B4-BE49-F238E27FC236}">
                  <a16:creationId xmlns:a16="http://schemas.microsoft.com/office/drawing/2014/main" id="{CF19809D-CB92-5496-3157-7B8165D670B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7765" t="44004" r="20169" b="11038"/>
            <a:stretch/>
          </xdr:blipFill>
          <xdr:spPr bwMode="auto">
            <a:xfrm>
              <a:off x="3724275" y="36061650"/>
              <a:ext cx="2147570" cy="2743200"/>
            </a:xfrm>
            <a:prstGeom prst="rect">
              <a:avLst/>
            </a:prstGeom>
            <a:ln>
              <a:noFill/>
            </a:ln>
            <a:extLst>
              <a:ext uri="{53640926-AAD7-44D8-BBD7-CCE9431645EC}">
                <a14:shadowObscured xmlns:a14="http://schemas.microsoft.com/office/drawing/2010/main"/>
              </a:ext>
            </a:extLst>
          </xdr:spPr>
        </xdr:pic>
        <xdr:sp macro="" textlink="">
          <xdr:nvSpPr>
            <xdr:cNvPr id="13" name="Rectangle 12">
              <a:extLst>
                <a:ext uri="{FF2B5EF4-FFF2-40B4-BE49-F238E27FC236}">
                  <a16:creationId xmlns:a16="http://schemas.microsoft.com/office/drawing/2014/main" id="{63FC627D-114E-C497-19CF-99273911FAB1}"/>
                </a:ext>
              </a:extLst>
            </xdr:cNvPr>
            <xdr:cNvSpPr/>
          </xdr:nvSpPr>
          <xdr:spPr>
            <a:xfrm>
              <a:off x="5629275" y="37652325"/>
              <a:ext cx="224790" cy="238760"/>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11" name="Picture 10">
            <a:extLst>
              <a:ext uri="{FF2B5EF4-FFF2-40B4-BE49-F238E27FC236}">
                <a16:creationId xmlns:a16="http://schemas.microsoft.com/office/drawing/2014/main" id="{11C9814C-2437-86F4-6F57-AFE69C38882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39131" b="20454"/>
          <a:stretch/>
        </xdr:blipFill>
        <xdr:spPr bwMode="auto">
          <a:xfrm>
            <a:off x="14071146" y="19625582"/>
            <a:ext cx="3633924" cy="108077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0</xdr:row>
      <xdr:rowOff>0</xdr:rowOff>
    </xdr:from>
    <xdr:to>
      <xdr:col>20</xdr:col>
      <xdr:colOff>569201</xdr:colOff>
      <xdr:row>120</xdr:row>
      <xdr:rowOff>137292</xdr:rowOff>
    </xdr:to>
    <xdr:grpSp>
      <xdr:nvGrpSpPr>
        <xdr:cNvPr id="2" name="Group 1">
          <a:extLst>
            <a:ext uri="{FF2B5EF4-FFF2-40B4-BE49-F238E27FC236}">
              <a16:creationId xmlns:a16="http://schemas.microsoft.com/office/drawing/2014/main" id="{3DB1930A-EDA5-4B0C-88CE-97FB5B6688B0}"/>
            </a:ext>
          </a:extLst>
        </xdr:cNvPr>
        <xdr:cNvGrpSpPr/>
      </xdr:nvGrpSpPr>
      <xdr:grpSpPr>
        <a:xfrm>
          <a:off x="14649450" y="0"/>
          <a:ext cx="6055601" cy="24578442"/>
          <a:chOff x="13966371" y="47623"/>
          <a:chExt cx="6091918" cy="24454758"/>
        </a:xfrm>
      </xdr:grpSpPr>
      <xdr:sp macro="" textlink="">
        <xdr:nvSpPr>
          <xdr:cNvPr id="3" name="TextBox 2">
            <a:extLst>
              <a:ext uri="{FF2B5EF4-FFF2-40B4-BE49-F238E27FC236}">
                <a16:creationId xmlns:a16="http://schemas.microsoft.com/office/drawing/2014/main" id="{D1EED180-A83D-CC99-9CBE-C3B77ADFDEDB}"/>
              </a:ext>
            </a:extLst>
          </xdr:cNvPr>
          <xdr:cNvSpPr txBox="1"/>
        </xdr:nvSpPr>
        <xdr:spPr>
          <a:xfrm>
            <a:off x="13966371" y="47623"/>
            <a:ext cx="6091918" cy="24454758"/>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Hazard Tabs</a:t>
            </a:r>
          </a:p>
          <a:p>
            <a:r>
              <a:rPr lang="en-US" sz="1100"/>
              <a:t>1.  Each Hazard tab has been populated with the hazard (cell B2) and relative risk (cell E2) from the InputHazard tab and with population data based on the InputCounties tab (Columns C and D).   </a:t>
            </a:r>
          </a:p>
          <a:p>
            <a:endParaRPr lang="en-US" sz="1100"/>
          </a:p>
          <a:p>
            <a:r>
              <a:rPr lang="en-US" sz="1100"/>
              <a:t>2.  Population data from the InputCounties tab appears in Columns C (as a percentage) and D (as a number) of the total population of the selected counties.  Do not edit or replace this information.</a:t>
            </a:r>
          </a:p>
          <a:p>
            <a:endParaRPr lang="en-US" sz="1100"/>
          </a:p>
          <a:p>
            <a:r>
              <a:rPr lang="en-US" sz="1100"/>
              <a:t>3.  The next four columns will require manual input, by using the dropdown arrows next to each cell. Each dropdown provides a list of five options. Users should use their team’s best judgment to select the answer that best fits the prompt questions for that specific health equity consideration characteristic. </a:t>
            </a:r>
          </a:p>
          <a:p>
            <a:endParaRPr lang="en-US" sz="1100"/>
          </a:p>
          <a:p>
            <a:r>
              <a:rPr lang="en-US" sz="1100" b="1" i="1"/>
              <a:t>Column E: Estimated impact  </a:t>
            </a:r>
          </a:p>
          <a:p>
            <a:r>
              <a:rPr lang="en-US" sz="1100"/>
              <a:t>4.  Assess “what impact would incoming patients from the </a:t>
            </a:r>
          </a:p>
          <a:p>
            <a:r>
              <a:rPr lang="en-US" sz="1100"/>
              <a:t>identified groups have on our ability to respond to the</a:t>
            </a:r>
          </a:p>
          <a:p>
            <a:r>
              <a:rPr lang="en-US" sz="1100"/>
              <a:t>specific hazard?”</a:t>
            </a:r>
          </a:p>
          <a:p>
            <a:endParaRPr lang="en-US" sz="1100"/>
          </a:p>
          <a:p>
            <a:r>
              <a:rPr lang="en-US" sz="1100"/>
              <a:t>This can be thought of as what percentage of the population</a:t>
            </a:r>
          </a:p>
          <a:p>
            <a:r>
              <a:rPr lang="en-US" sz="1100"/>
              <a:t>of the identified group will likely seek medical care or need</a:t>
            </a:r>
          </a:p>
          <a:p>
            <a:r>
              <a:rPr lang="en-US" sz="1100"/>
              <a:t>medical treatment or support from your facility or</a:t>
            </a:r>
          </a:p>
          <a:p>
            <a:r>
              <a:rPr lang="en-US" sz="1100"/>
              <a:t>organization because of the hazard event.</a:t>
            </a:r>
          </a:p>
          <a:p>
            <a:endParaRPr lang="en-US" sz="1100"/>
          </a:p>
          <a:p>
            <a:r>
              <a:rPr lang="en-US" sz="1100"/>
              <a:t>For each yellow cell in Column E, click the dropdown arrow </a:t>
            </a:r>
          </a:p>
          <a:p>
            <a:r>
              <a:rPr lang="en-US" sz="1100"/>
              <a:t>and enter the expected impact: </a:t>
            </a:r>
          </a:p>
          <a:p>
            <a:r>
              <a:rPr lang="en-US" sz="1100"/>
              <a:t>    -  No impact</a:t>
            </a:r>
          </a:p>
          <a:p>
            <a:r>
              <a:rPr lang="en-US" sz="1100"/>
              <a:t>    -  Low impact</a:t>
            </a:r>
          </a:p>
          <a:p>
            <a:r>
              <a:rPr lang="en-US" sz="1100"/>
              <a:t>    -  Moderate impact</a:t>
            </a:r>
          </a:p>
          <a:p>
            <a:r>
              <a:rPr lang="en-US" sz="1100"/>
              <a:t>    -  High impact </a:t>
            </a:r>
          </a:p>
          <a:p>
            <a:r>
              <a:rPr lang="en-US" sz="1100"/>
              <a:t>    -  Very High impact  </a:t>
            </a:r>
          </a:p>
          <a:p>
            <a:endParaRPr lang="en-US" sz="1100"/>
          </a:p>
          <a:p>
            <a:endParaRPr lang="en-US" sz="1100"/>
          </a:p>
          <a:p>
            <a:endParaRPr lang="en-US" sz="1100"/>
          </a:p>
          <a:p>
            <a:endParaRPr lang="en-US" sz="1100"/>
          </a:p>
          <a:p>
            <a:endParaRPr lang="en-US" sz="1100"/>
          </a:p>
          <a:p>
            <a:endParaRPr lang="en-US" sz="1100"/>
          </a:p>
          <a:p>
            <a:endParaRPr lang="en-US" sz="1100"/>
          </a:p>
          <a:p>
            <a:r>
              <a:rPr lang="en-US" sz="1100" b="1" i="1"/>
              <a:t>Columns F, G, and H: Mitigation </a:t>
            </a:r>
          </a:p>
          <a:p>
            <a:r>
              <a:rPr lang="en-US" sz="1100"/>
              <a:t>Assess your mitigation efforts (Columns F, G, and H).  These columns relate mitigation efforts that your organization and/or community have enacted to reduce the impact of the hazard on the selected population.</a:t>
            </a:r>
          </a:p>
          <a:p>
            <a:endParaRPr lang="en-US" sz="1100"/>
          </a:p>
          <a:p>
            <a:r>
              <a:rPr lang="en-US" sz="1100" b="1" u="sng"/>
              <a:t>Column F: Resources</a:t>
            </a:r>
          </a:p>
          <a:p>
            <a:r>
              <a:rPr lang="en-US" sz="1100"/>
              <a:t>5.  Answer “How confident are you that your organization</a:t>
            </a:r>
          </a:p>
          <a:p>
            <a:r>
              <a:rPr lang="en-US" sz="1100"/>
              <a:t>has the resources to manage the estimated impact (from </a:t>
            </a:r>
          </a:p>
          <a:p>
            <a:r>
              <a:rPr lang="en-US" sz="1100"/>
              <a:t>Column E)?”</a:t>
            </a:r>
          </a:p>
          <a:p>
            <a:endParaRPr lang="en-US" sz="1100"/>
          </a:p>
          <a:p>
            <a:r>
              <a:rPr lang="en-US" sz="1100"/>
              <a:t>Resources include, but are not necessarily limited to, how</a:t>
            </a:r>
          </a:p>
          <a:p>
            <a:r>
              <a:rPr lang="en-US" sz="1100"/>
              <a:t>much planning the user’s facility or organization has done</a:t>
            </a:r>
          </a:p>
          <a:p>
            <a:r>
              <a:rPr lang="en-US" sz="1100"/>
              <a:t>to prepare, the types and quantities of supplies on hand, </a:t>
            </a:r>
          </a:p>
          <a:p>
            <a:r>
              <a:rPr lang="en-US" sz="1100"/>
              <a:t>staff availability, and MOUs to obtain supplies and/or staff</a:t>
            </a:r>
          </a:p>
          <a:p>
            <a:r>
              <a:rPr lang="en-US" sz="1100"/>
              <a:t>support. These answers may or may not vary depending</a:t>
            </a:r>
          </a:p>
          <a:p>
            <a:r>
              <a:rPr lang="en-US" sz="1100"/>
              <a:t>on the equity consideration characteristic being assessed.</a:t>
            </a:r>
          </a:p>
          <a:p>
            <a:endParaRPr lang="en-US" sz="1100"/>
          </a:p>
          <a:p>
            <a:r>
              <a:rPr lang="en-US" sz="1100"/>
              <a:t>6.  For each yellow cell in Column F, click the dropdown </a:t>
            </a:r>
          </a:p>
          <a:p>
            <a:r>
              <a:rPr lang="en-US" sz="1100"/>
              <a:t>arrow and enter the expected impact: </a:t>
            </a:r>
          </a:p>
          <a:p>
            <a:r>
              <a:rPr lang="en-US" sz="1100"/>
              <a:t>    -  Not at all confident</a:t>
            </a:r>
          </a:p>
          <a:p>
            <a:r>
              <a:rPr lang="en-US" sz="1100"/>
              <a:t>    -  Slightly confident</a:t>
            </a:r>
          </a:p>
          <a:p>
            <a:r>
              <a:rPr lang="en-US" sz="1100"/>
              <a:t>    -  Somewhat confident </a:t>
            </a:r>
          </a:p>
          <a:p>
            <a:r>
              <a:rPr lang="en-US" sz="1100"/>
              <a:t>    -  Fairly confident </a:t>
            </a:r>
          </a:p>
          <a:p>
            <a:r>
              <a:rPr lang="en-US" sz="1100"/>
              <a:t>    -  Completely confident</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b="1" u="sng"/>
              <a:t>Column G: Responsibility</a:t>
            </a:r>
          </a:p>
          <a:p>
            <a:r>
              <a:rPr lang="en-US" sz="1100"/>
              <a:t>7.  Determine “How responsible is your organization to address the needs of the identified group before an emergency?”</a:t>
            </a:r>
          </a:p>
          <a:p>
            <a:endParaRPr lang="en-US" sz="1100"/>
          </a:p>
          <a:p>
            <a:r>
              <a:rPr lang="en-US" sz="1100"/>
              <a:t>Answering this question requires some upstream thinking.</a:t>
            </a:r>
          </a:p>
          <a:p>
            <a:r>
              <a:rPr lang="en-US" sz="1100"/>
              <a:t>For example, a Federally Qualified Health Center (FQHC)</a:t>
            </a:r>
          </a:p>
          <a:p>
            <a:r>
              <a:rPr lang="en-US" sz="1100"/>
              <a:t>may have more responsibility to address the needs of</a:t>
            </a:r>
          </a:p>
          <a:p>
            <a:r>
              <a:rPr lang="en-US" sz="1100"/>
              <a:t>those below the 150% poverty rate before a hazard event</a:t>
            </a:r>
          </a:p>
          <a:p>
            <a:r>
              <a:rPr lang="en-US" sz="1100"/>
              <a:t>than a private, Continuing Care Retirement Community</a:t>
            </a:r>
          </a:p>
          <a:p>
            <a:r>
              <a:rPr lang="en-US" sz="1100"/>
              <a:t>(CCRC). This example may be extreme but is used for</a:t>
            </a:r>
          </a:p>
          <a:p>
            <a:r>
              <a:rPr lang="en-US" sz="1100"/>
              <a:t>illustrative purposes. These answers may or may not vary</a:t>
            </a:r>
          </a:p>
          <a:p>
            <a:r>
              <a:rPr lang="en-US" sz="1100"/>
              <a:t>depending on the equity consideration characteristic being</a:t>
            </a:r>
          </a:p>
          <a:p>
            <a:r>
              <a:rPr lang="en-US" sz="1100"/>
              <a:t>assessed.</a:t>
            </a:r>
          </a:p>
          <a:p>
            <a:endParaRPr lang="en-US" sz="1100"/>
          </a:p>
          <a:p>
            <a:r>
              <a:rPr lang="en-US" sz="1100"/>
              <a:t>8.  For each yellow cell in Column G, click the dropdown</a:t>
            </a:r>
          </a:p>
          <a:p>
            <a:r>
              <a:rPr lang="en-US" sz="1100"/>
              <a:t>arrow and enter the expected impact: </a:t>
            </a:r>
          </a:p>
          <a:p>
            <a:r>
              <a:rPr lang="en-US" sz="1100"/>
              <a:t>    -  Not at all responsible</a:t>
            </a:r>
          </a:p>
          <a:p>
            <a:r>
              <a:rPr lang="en-US" sz="1100"/>
              <a:t>    -  Slightly responsible</a:t>
            </a:r>
          </a:p>
          <a:p>
            <a:r>
              <a:rPr lang="en-US" sz="1100"/>
              <a:t>    -  Somewhat responsible</a:t>
            </a:r>
          </a:p>
          <a:p>
            <a:r>
              <a:rPr lang="en-US" sz="1100"/>
              <a:t>    -  Fairly responsible</a:t>
            </a:r>
          </a:p>
          <a:p>
            <a:r>
              <a:rPr lang="en-US" sz="1100"/>
              <a:t>    -  Completely responsible</a:t>
            </a:r>
          </a:p>
          <a:p>
            <a:endParaRPr lang="en-US" sz="1100"/>
          </a:p>
          <a:p>
            <a:endParaRPr lang="en-US" sz="1100"/>
          </a:p>
          <a:p>
            <a:endParaRPr lang="en-US" sz="1100"/>
          </a:p>
          <a:p>
            <a:endParaRPr lang="en-US" sz="1100"/>
          </a:p>
          <a:p>
            <a:endParaRPr lang="en-US" sz="1100"/>
          </a:p>
          <a:p>
            <a:endParaRPr lang="en-US" sz="1100"/>
          </a:p>
          <a:p>
            <a:endParaRPr lang="en-US" sz="1100"/>
          </a:p>
          <a:p>
            <a:r>
              <a:rPr lang="en-US" sz="1100"/>
              <a:t>*Please note that the relative percentages are reversed in the calculations to reflect an increased equity burden with increasing responsibility.</a:t>
            </a:r>
          </a:p>
          <a:p>
            <a:endParaRPr lang="en-US" sz="1100"/>
          </a:p>
          <a:p>
            <a:r>
              <a:rPr lang="en-US" sz="1100" b="1" u="sng"/>
              <a:t>Column H: Community Connections</a:t>
            </a:r>
          </a:p>
          <a:p>
            <a:r>
              <a:rPr lang="en-US" sz="1100"/>
              <a:t>9.  Answer “How confident are you that your organization can</a:t>
            </a:r>
          </a:p>
          <a:p>
            <a:r>
              <a:rPr lang="en-US" sz="1100"/>
              <a:t>connect these patients to the right community resources?”</a:t>
            </a:r>
          </a:p>
          <a:p>
            <a:endParaRPr lang="en-US" sz="1100"/>
          </a:p>
          <a:p>
            <a:r>
              <a:rPr lang="en-US" sz="1100"/>
              <a:t>These community resources include agencies that serve,</a:t>
            </a:r>
          </a:p>
          <a:p>
            <a:r>
              <a:rPr lang="en-US" sz="1100"/>
              <a:t>support, and work with the identified group from each row. </a:t>
            </a:r>
          </a:p>
          <a:p>
            <a:r>
              <a:rPr lang="en-US" sz="1100"/>
              <a:t>These answers may or may not vary depending on the equity</a:t>
            </a:r>
          </a:p>
          <a:p>
            <a:r>
              <a:rPr lang="en-US" sz="1100"/>
              <a:t>consideration characteristic being assessed.</a:t>
            </a:r>
          </a:p>
          <a:p>
            <a:endParaRPr lang="en-US" sz="1100"/>
          </a:p>
          <a:p>
            <a:r>
              <a:rPr lang="en-US" sz="1100"/>
              <a:t>10.  For each yellow cell in Column H, click the dropdown</a:t>
            </a:r>
          </a:p>
          <a:p>
            <a:r>
              <a:rPr lang="en-US" sz="1100"/>
              <a:t>arrow and enter the expected impact: </a:t>
            </a:r>
          </a:p>
          <a:p>
            <a:r>
              <a:rPr lang="en-US" sz="1100"/>
              <a:t>    -  Not at all confident</a:t>
            </a:r>
          </a:p>
          <a:p>
            <a:r>
              <a:rPr lang="en-US" sz="1100"/>
              <a:t>    -  Slightly confident</a:t>
            </a:r>
          </a:p>
          <a:p>
            <a:r>
              <a:rPr lang="en-US" sz="1100"/>
              <a:t>    -  Somewhat confident </a:t>
            </a:r>
          </a:p>
          <a:p>
            <a:r>
              <a:rPr lang="en-US" sz="1100"/>
              <a:t>    -  Fairly confident </a:t>
            </a:r>
          </a:p>
          <a:p>
            <a:r>
              <a:rPr lang="en-US" sz="1100"/>
              <a:t>    -  Completely confident</a:t>
            </a:r>
          </a:p>
          <a:p>
            <a:endParaRPr lang="en-US" sz="1100"/>
          </a:p>
          <a:p>
            <a:endParaRPr lang="en-US" sz="1100"/>
          </a:p>
          <a:p>
            <a:endParaRPr lang="en-US" sz="1100"/>
          </a:p>
          <a:p>
            <a:endParaRPr lang="en-US" sz="1100"/>
          </a:p>
          <a:p>
            <a:endParaRPr lang="en-US" sz="1100"/>
          </a:p>
          <a:p>
            <a:endParaRPr lang="en-US" sz="1100"/>
          </a:p>
          <a:p>
            <a:endParaRPr lang="en-US" sz="1100"/>
          </a:p>
          <a:p>
            <a:endParaRPr lang="en-US" sz="1100" b="1" u="sng"/>
          </a:p>
          <a:p>
            <a:r>
              <a:rPr lang="en-US" sz="1100" b="1" u="sng"/>
              <a:t>Column I: Severity</a:t>
            </a:r>
          </a:p>
          <a:p>
            <a:r>
              <a:rPr lang="en-US" sz="1100"/>
              <a:t>Severity is automatically calculated and is a function of the population size (Column C) of the specific equity consideration as a percentage, the estimated impact (Column E), and mitigation efforts (Columns F, G, and H). </a:t>
            </a:r>
          </a:p>
          <a:p>
            <a:endParaRPr lang="en-US" sz="1100"/>
          </a:p>
          <a:p>
            <a:r>
              <a:rPr lang="en-US" sz="1100"/>
              <a:t>Column J: Relative Health Equity Risk</a:t>
            </a:r>
          </a:p>
          <a:p>
            <a:r>
              <a:rPr lang="en-US" sz="1100"/>
              <a:t>Relative Health Equity Risk is automatically calculated and is a function of the Relative Risk score from the InputHazards worksheet. </a:t>
            </a:r>
          </a:p>
          <a:p>
            <a:endParaRPr lang="en-US" sz="1100"/>
          </a:p>
          <a:p>
            <a:r>
              <a:rPr lang="en-US" sz="1100"/>
              <a:t>11.  Review your results in Column J.  The higher percentage, the more likely these populations are likely to experience negative health outcomes during a potential hazard and the more effort should be put into preparedness plans in advance of, and recovery support after, an event.</a:t>
            </a:r>
          </a:p>
          <a:p>
            <a:endParaRPr lang="en-US" sz="1100"/>
          </a:p>
          <a:p>
            <a:r>
              <a:rPr lang="en-US" sz="1100"/>
              <a:t>It is important to note that: the final results are intended to show *RELATIVE* risk only; the calculated percentages are meaningless independently and only show whether an identified health equity characteristic is at higher or lower risk than another. The percentage does not indicate the degree of risk.  </a:t>
            </a:r>
          </a:p>
          <a:p>
            <a:endParaRPr lang="en-US" sz="1100"/>
          </a:p>
          <a:p>
            <a:r>
              <a:rPr lang="en-US" sz="1100"/>
              <a:t>12.  </a:t>
            </a:r>
            <a:r>
              <a:rPr lang="en-US" sz="1100">
                <a:solidFill>
                  <a:schemeClr val="dk1"/>
                </a:solidFill>
                <a:effectLst/>
                <a:latin typeface="+mn-lt"/>
                <a:ea typeface="+mn-ea"/>
                <a:cs typeface="+mn-cs"/>
              </a:rPr>
              <a:t>After finishing the Hazard 5 Worksheet, go to the Summary Results Worksheet.  </a:t>
            </a:r>
            <a:endParaRPr lang="en-US" sz="1100"/>
          </a:p>
        </xdr:txBody>
      </xdr:sp>
      <xdr:grpSp>
        <xdr:nvGrpSpPr>
          <xdr:cNvPr id="4" name="Group 3">
            <a:extLst>
              <a:ext uri="{FF2B5EF4-FFF2-40B4-BE49-F238E27FC236}">
                <a16:creationId xmlns:a16="http://schemas.microsoft.com/office/drawing/2014/main" id="{763D84C7-BAA9-1DFF-82BE-94D843E53C1D}"/>
              </a:ext>
            </a:extLst>
          </xdr:cNvPr>
          <xdr:cNvGrpSpPr/>
        </xdr:nvGrpSpPr>
        <xdr:grpSpPr>
          <a:xfrm>
            <a:off x="17716500" y="2166257"/>
            <a:ext cx="2021114" cy="2752725"/>
            <a:chOff x="3829050" y="21802725"/>
            <a:chExt cx="2012950" cy="2743200"/>
          </a:xfrm>
        </xdr:grpSpPr>
        <xdr:pic>
          <xdr:nvPicPr>
            <xdr:cNvPr id="18" name="Picture 17" descr="Graphical user interface, application, table, Excel&#10;&#10;Description automatically generated">
              <a:extLst>
                <a:ext uri="{FF2B5EF4-FFF2-40B4-BE49-F238E27FC236}">
                  <a16:creationId xmlns:a16="http://schemas.microsoft.com/office/drawing/2014/main" id="{7928416A-4DA9-17DB-407C-4E13641D241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854" t="40181" r="40751" b="11115"/>
            <a:stretch/>
          </xdr:blipFill>
          <xdr:spPr bwMode="auto">
            <a:xfrm>
              <a:off x="3829050" y="21802725"/>
              <a:ext cx="2012950" cy="2743200"/>
            </a:xfrm>
            <a:prstGeom prst="rect">
              <a:avLst/>
            </a:prstGeom>
            <a:ln>
              <a:noFill/>
            </a:ln>
            <a:extLst>
              <a:ext uri="{53640926-AAD7-44D8-BBD7-CCE9431645EC}">
                <a14:shadowObscured xmlns:a14="http://schemas.microsoft.com/office/drawing/2010/main"/>
              </a:ext>
            </a:extLst>
          </xdr:spPr>
        </xdr:pic>
        <xdr:sp macro="" textlink="">
          <xdr:nvSpPr>
            <xdr:cNvPr id="19" name="Rectangle 18">
              <a:extLst>
                <a:ext uri="{FF2B5EF4-FFF2-40B4-BE49-F238E27FC236}">
                  <a16:creationId xmlns:a16="http://schemas.microsoft.com/office/drawing/2014/main" id="{82BCE542-C084-E93D-7F9A-E09045E7FDD1}"/>
                </a:ext>
              </a:extLst>
            </xdr:cNvPr>
            <xdr:cNvSpPr/>
          </xdr:nvSpPr>
          <xdr:spPr>
            <a:xfrm>
              <a:off x="5591175" y="23498175"/>
              <a:ext cx="224790" cy="2387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5" name="Picture 4">
            <a:extLst>
              <a:ext uri="{FF2B5EF4-FFF2-40B4-BE49-F238E27FC236}">
                <a16:creationId xmlns:a16="http://schemas.microsoft.com/office/drawing/2014/main" id="{C5E21A5C-F8BE-FD9E-0303-388B940C591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8622" b="20131"/>
          <a:stretch/>
        </xdr:blipFill>
        <xdr:spPr bwMode="auto">
          <a:xfrm>
            <a:off x="14071146" y="4957082"/>
            <a:ext cx="3437675" cy="1020535"/>
          </a:xfrm>
          <a:prstGeom prst="rect">
            <a:avLst/>
          </a:prstGeom>
          <a:noFill/>
          <a:ln>
            <a:noFill/>
          </a:ln>
        </xdr:spPr>
      </xdr:pic>
      <xdr:grpSp>
        <xdr:nvGrpSpPr>
          <xdr:cNvPr id="6" name="Group 5">
            <a:extLst>
              <a:ext uri="{FF2B5EF4-FFF2-40B4-BE49-F238E27FC236}">
                <a16:creationId xmlns:a16="http://schemas.microsoft.com/office/drawing/2014/main" id="{52F2BE5C-587E-2AB7-FFBE-0F7016D231FE}"/>
              </a:ext>
            </a:extLst>
          </xdr:cNvPr>
          <xdr:cNvGrpSpPr/>
        </xdr:nvGrpSpPr>
        <xdr:grpSpPr>
          <a:xfrm>
            <a:off x="17792700" y="7154636"/>
            <a:ext cx="1966504" cy="2774496"/>
            <a:chOff x="3771900" y="25974675"/>
            <a:chExt cx="1958340" cy="2743200"/>
          </a:xfrm>
        </xdr:grpSpPr>
        <xdr:pic>
          <xdr:nvPicPr>
            <xdr:cNvPr id="16" name="Picture 15" descr="Graphical user interface, table, Excel&#10;&#10;Description automatically generated">
              <a:extLst>
                <a:ext uri="{FF2B5EF4-FFF2-40B4-BE49-F238E27FC236}">
                  <a16:creationId xmlns:a16="http://schemas.microsoft.com/office/drawing/2014/main" id="{A77CA23F-8EC5-2EE5-C524-B12EE8B8577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929" t="39939" r="56250" b="11295"/>
            <a:stretch/>
          </xdr:blipFill>
          <xdr:spPr bwMode="auto">
            <a:xfrm>
              <a:off x="3771900" y="25974675"/>
              <a:ext cx="1958340" cy="2743200"/>
            </a:xfrm>
            <a:prstGeom prst="rect">
              <a:avLst/>
            </a:prstGeom>
            <a:ln>
              <a:noFill/>
            </a:ln>
            <a:extLst>
              <a:ext uri="{53640926-AAD7-44D8-BBD7-CCE9431645EC}">
                <a14:shadowObscured xmlns:a14="http://schemas.microsoft.com/office/drawing/2010/main"/>
              </a:ext>
            </a:extLst>
          </xdr:spPr>
        </xdr:pic>
        <xdr:sp macro="" textlink="">
          <xdr:nvSpPr>
            <xdr:cNvPr id="17" name="Rectangle 16">
              <a:extLst>
                <a:ext uri="{FF2B5EF4-FFF2-40B4-BE49-F238E27FC236}">
                  <a16:creationId xmlns:a16="http://schemas.microsoft.com/office/drawing/2014/main" id="{6CFE3EB7-41D1-6D6B-D658-92AE289EC4A2}"/>
                </a:ext>
              </a:extLst>
            </xdr:cNvPr>
            <xdr:cNvSpPr/>
          </xdr:nvSpPr>
          <xdr:spPr>
            <a:xfrm>
              <a:off x="5572124" y="27717750"/>
              <a:ext cx="158115"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7" name="Picture 6">
            <a:extLst>
              <a:ext uri="{FF2B5EF4-FFF2-40B4-BE49-F238E27FC236}">
                <a16:creationId xmlns:a16="http://schemas.microsoft.com/office/drawing/2014/main" id="{D0EC04A3-91FC-489E-279F-7B634C4CF72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9102" b="20131"/>
          <a:stretch/>
        </xdr:blipFill>
        <xdr:spPr bwMode="auto">
          <a:xfrm>
            <a:off x="14042571" y="10243457"/>
            <a:ext cx="3635829" cy="1085850"/>
          </a:xfrm>
          <a:prstGeom prst="rect">
            <a:avLst/>
          </a:prstGeom>
          <a:noFill/>
          <a:ln>
            <a:noFill/>
          </a:ln>
        </xdr:spPr>
      </xdr:pic>
      <xdr:grpSp>
        <xdr:nvGrpSpPr>
          <xdr:cNvPr id="8" name="Group 7">
            <a:extLst>
              <a:ext uri="{FF2B5EF4-FFF2-40B4-BE49-F238E27FC236}">
                <a16:creationId xmlns:a16="http://schemas.microsoft.com/office/drawing/2014/main" id="{FE48CEB3-4733-D742-2B22-7FE254F4EC5F}"/>
              </a:ext>
            </a:extLst>
          </xdr:cNvPr>
          <xdr:cNvGrpSpPr/>
        </xdr:nvGrpSpPr>
        <xdr:grpSpPr>
          <a:xfrm>
            <a:off x="17621250" y="12262757"/>
            <a:ext cx="2145574" cy="2743200"/>
            <a:chOff x="3705225" y="30946725"/>
            <a:chExt cx="2137410" cy="2743200"/>
          </a:xfrm>
        </xdr:grpSpPr>
        <xdr:pic>
          <xdr:nvPicPr>
            <xdr:cNvPr id="14" name="Picture 13" descr="Table, Excel&#10;&#10;Description automatically generated">
              <a:extLst>
                <a:ext uri="{FF2B5EF4-FFF2-40B4-BE49-F238E27FC236}">
                  <a16:creationId xmlns:a16="http://schemas.microsoft.com/office/drawing/2014/main" id="{32D2AAE6-A80A-C915-2AA1-C23EC9C88EE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9724" t="43973" r="38343" b="11125"/>
            <a:stretch/>
          </xdr:blipFill>
          <xdr:spPr bwMode="auto">
            <a:xfrm>
              <a:off x="3705225" y="30946725"/>
              <a:ext cx="2137410" cy="2743200"/>
            </a:xfrm>
            <a:prstGeom prst="rect">
              <a:avLst/>
            </a:prstGeom>
            <a:ln>
              <a:noFill/>
            </a:ln>
            <a:extLst>
              <a:ext uri="{53640926-AAD7-44D8-BBD7-CCE9431645EC}">
                <a14:shadowObscured xmlns:a14="http://schemas.microsoft.com/office/drawing/2010/main"/>
              </a:ext>
            </a:extLst>
          </xdr:spPr>
        </xdr:pic>
        <xdr:sp macro="" textlink="">
          <xdr:nvSpPr>
            <xdr:cNvPr id="15" name="Rectangle 14">
              <a:extLst>
                <a:ext uri="{FF2B5EF4-FFF2-40B4-BE49-F238E27FC236}">
                  <a16:creationId xmlns:a16="http://schemas.microsoft.com/office/drawing/2014/main" id="{7189F21F-7AA3-D0F3-D9C4-4F5C6480DEB9}"/>
                </a:ext>
              </a:extLst>
            </xdr:cNvPr>
            <xdr:cNvSpPr/>
          </xdr:nvSpPr>
          <xdr:spPr>
            <a:xfrm>
              <a:off x="5648325" y="32594550"/>
              <a:ext cx="186690" cy="180975"/>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9" name="Picture 8">
            <a:extLst>
              <a:ext uri="{FF2B5EF4-FFF2-40B4-BE49-F238E27FC236}">
                <a16:creationId xmlns:a16="http://schemas.microsoft.com/office/drawing/2014/main" id="{AD064DF5-5568-6E56-8926-6F002DE9860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02" t="10344" r="38302"/>
          <a:stretch/>
        </xdr:blipFill>
        <xdr:spPr bwMode="auto">
          <a:xfrm>
            <a:off x="14052096" y="15225032"/>
            <a:ext cx="3588204" cy="1073150"/>
          </a:xfrm>
          <a:prstGeom prst="rect">
            <a:avLst/>
          </a:prstGeom>
          <a:noFill/>
          <a:ln>
            <a:noFill/>
          </a:ln>
        </xdr:spPr>
      </xdr:pic>
      <xdr:grpSp>
        <xdr:nvGrpSpPr>
          <xdr:cNvPr id="10" name="Group 9">
            <a:extLst>
              <a:ext uri="{FF2B5EF4-FFF2-40B4-BE49-F238E27FC236}">
                <a16:creationId xmlns:a16="http://schemas.microsoft.com/office/drawing/2014/main" id="{B66602F0-9827-EACD-A21F-47F4E74FDDF4}"/>
              </a:ext>
            </a:extLst>
          </xdr:cNvPr>
          <xdr:cNvGrpSpPr/>
        </xdr:nvGrpSpPr>
        <xdr:grpSpPr>
          <a:xfrm>
            <a:off x="17868899" y="17053831"/>
            <a:ext cx="1993809" cy="2600326"/>
            <a:chOff x="3724275" y="36061650"/>
            <a:chExt cx="2147570" cy="2743200"/>
          </a:xfrm>
        </xdr:grpSpPr>
        <xdr:pic>
          <xdr:nvPicPr>
            <xdr:cNvPr id="12" name="Picture 11" descr="Table&#10;&#10;Description automatically generated">
              <a:extLst>
                <a:ext uri="{FF2B5EF4-FFF2-40B4-BE49-F238E27FC236}">
                  <a16:creationId xmlns:a16="http://schemas.microsoft.com/office/drawing/2014/main" id="{6999AF20-B3BD-AF83-4197-9751203C4AB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7765" t="44004" r="20169" b="11038"/>
            <a:stretch/>
          </xdr:blipFill>
          <xdr:spPr bwMode="auto">
            <a:xfrm>
              <a:off x="3724275" y="36061650"/>
              <a:ext cx="2147570" cy="2743200"/>
            </a:xfrm>
            <a:prstGeom prst="rect">
              <a:avLst/>
            </a:prstGeom>
            <a:ln>
              <a:noFill/>
            </a:ln>
            <a:extLst>
              <a:ext uri="{53640926-AAD7-44D8-BBD7-CCE9431645EC}">
                <a14:shadowObscured xmlns:a14="http://schemas.microsoft.com/office/drawing/2010/main"/>
              </a:ext>
            </a:extLst>
          </xdr:spPr>
        </xdr:pic>
        <xdr:sp macro="" textlink="">
          <xdr:nvSpPr>
            <xdr:cNvPr id="13" name="Rectangle 12">
              <a:extLst>
                <a:ext uri="{FF2B5EF4-FFF2-40B4-BE49-F238E27FC236}">
                  <a16:creationId xmlns:a16="http://schemas.microsoft.com/office/drawing/2014/main" id="{178F37FD-DF43-3368-D711-54E8866D6514}"/>
                </a:ext>
              </a:extLst>
            </xdr:cNvPr>
            <xdr:cNvSpPr/>
          </xdr:nvSpPr>
          <xdr:spPr>
            <a:xfrm>
              <a:off x="5629275" y="37652325"/>
              <a:ext cx="224790" cy="238760"/>
            </a:xfrm>
            <a:prstGeom prst="rect">
              <a:avLst/>
            </a:prstGeom>
            <a:noFill/>
            <a:ln w="38100" cap="flat" cmpd="sng" algn="ctr">
              <a:solidFill>
                <a:srgbClr val="FF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pic>
        <xdr:nvPicPr>
          <xdr:cNvPr id="11" name="Picture 10">
            <a:extLst>
              <a:ext uri="{FF2B5EF4-FFF2-40B4-BE49-F238E27FC236}">
                <a16:creationId xmlns:a16="http://schemas.microsoft.com/office/drawing/2014/main" id="{1C73A15E-4772-2EED-187F-33B75E420A3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39131" b="20454"/>
          <a:stretch/>
        </xdr:blipFill>
        <xdr:spPr bwMode="auto">
          <a:xfrm>
            <a:off x="14071146" y="19625582"/>
            <a:ext cx="3633924" cy="108077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9525</xdr:colOff>
      <xdr:row>0</xdr:row>
      <xdr:rowOff>47625</xdr:rowOff>
    </xdr:from>
    <xdr:to>
      <xdr:col>18</xdr:col>
      <xdr:colOff>590550</xdr:colOff>
      <xdr:row>1</xdr:row>
      <xdr:rowOff>628650</xdr:rowOff>
    </xdr:to>
    <xdr:sp macro="" textlink="">
      <xdr:nvSpPr>
        <xdr:cNvPr id="2" name="TextBox 1">
          <a:extLst>
            <a:ext uri="{FF2B5EF4-FFF2-40B4-BE49-F238E27FC236}">
              <a16:creationId xmlns:a16="http://schemas.microsoft.com/office/drawing/2014/main" id="{32DE36E4-2E50-D0F7-1780-936FFB70F3CF}"/>
            </a:ext>
          </a:extLst>
        </xdr:cNvPr>
        <xdr:cNvSpPr txBox="1"/>
      </xdr:nvSpPr>
      <xdr:spPr>
        <a:xfrm>
          <a:off x="10753725" y="47625"/>
          <a:ext cx="6067425" cy="847725"/>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Summary Results Tab</a:t>
          </a:r>
        </a:p>
        <a:p>
          <a:r>
            <a:rPr lang="en-US" sz="1100" b="0"/>
            <a:t>After working through the Hazard Worksheets for the identified hazards, the resulting Relative Risk Score for each will be pulled into the Summary Results Worksheet, with the highest areas of Relative Risk shaded in red. </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Anne Huie" refreshedDate="44974.388629861111" createdVersion="8" refreshedVersion="8" minRefreshableVersion="3" recordCount="14" xr:uid="{B98CB4F3-95B1-4216-83BD-4842F13B846C}">
  <cacheSource type="worksheet">
    <worksheetSource ref="A2:QH16" sheet="DataSource"/>
  </cacheSource>
  <cacheFields count="450">
    <cacheField name="ST" numFmtId="0">
      <sharedItems containsSemiMixedTypes="0" containsString="0" containsNumber="1" containsInteger="1" minValue="50" maxValue="50"/>
    </cacheField>
    <cacheField name="STATE" numFmtId="0">
      <sharedItems/>
    </cacheField>
    <cacheField name="ST_ABBR" numFmtId="0">
      <sharedItems/>
    </cacheField>
    <cacheField name="STCNTY" numFmtId="0">
      <sharedItems containsSemiMixedTypes="0" containsString="0" containsNumber="1" containsInteger="1" minValue="50001" maxValue="50027"/>
    </cacheField>
    <cacheField name="COUNTY" numFmtId="0">
      <sharedItems count="14">
        <s v="Addison"/>
        <s v="Bennington"/>
        <s v="Caledonia"/>
        <s v="Chittenden"/>
        <s v="Essex"/>
        <s v="Franklin"/>
        <s v="Grand Isle"/>
        <s v="Lamoille"/>
        <s v="Orange"/>
        <s v="Orleans"/>
        <s v="Rutland"/>
        <s v="Washington"/>
        <s v="Windham"/>
        <s v="Windsor"/>
      </sharedItems>
    </cacheField>
    <cacheField name="FIPS" numFmtId="0">
      <sharedItems containsSemiMixedTypes="0" containsString="0" containsNumber="1" containsInteger="1" minValue="50001" maxValue="50027"/>
    </cacheField>
    <cacheField name="LOCATION" numFmtId="0">
      <sharedItems/>
    </cacheField>
    <cacheField name="AREA_SQMI" numFmtId="0">
      <sharedItems containsSemiMixedTypes="0" containsString="0" containsNumber="1" minValue="81.769365732744006" maxValue="969.78309691964398"/>
    </cacheField>
    <cacheField name="E_TOTPOP" numFmtId="0">
      <sharedItems containsSemiMixedTypes="0" containsString="0" containsNumber="1" containsInteger="1" minValue="6179" maxValue="163414"/>
    </cacheField>
    <cacheField name="M_TOTPOP" numFmtId="0">
      <sharedItems containsSemiMixedTypes="0" containsString="0" containsNumber="1" containsInteger="1" minValue="0" maxValue="3"/>
    </cacheField>
    <cacheField name="E_HU" numFmtId="0">
      <sharedItems containsSemiMixedTypes="0" containsString="0" containsNumber="1" containsInteger="1" minValue="5209" maxValue="70460"/>
    </cacheField>
    <cacheField name="M_HU" numFmtId="0">
      <sharedItems containsSemiMixedTypes="0" containsString="0" containsNumber="1" containsInteger="1" minValue="36" maxValue="260"/>
    </cacheField>
    <cacheField name="E_HH" numFmtId="0">
      <sharedItems containsSemiMixedTypes="0" containsString="0" containsNumber="1" containsInteger="1" minValue="2882" maxValue="66478"/>
    </cacheField>
    <cacheField name="M_HH" numFmtId="0">
      <sharedItems containsSemiMixedTypes="0" containsString="0" containsNumber="1" containsInteger="1" minValue="127" maxValue="542"/>
    </cacheField>
    <cacheField name="E_POV150" numFmtId="0">
      <sharedItems containsSemiMixedTypes="0" containsString="0" containsNumber="1" containsInteger="1" minValue="831" maxValue="26625"/>
    </cacheField>
    <cacheField name="M_POV150" numFmtId="0">
      <sharedItems containsSemiMixedTypes="0" containsString="0" containsNumber="1" containsInteger="1" minValue="156" maxValue="1657"/>
    </cacheField>
    <cacheField name="E_UNEMP" numFmtId="0">
      <sharedItems containsSemiMixedTypes="0" containsString="0" containsNumber="1" containsInteger="1" minValue="153" maxValue="3435"/>
    </cacheField>
    <cacheField name="M_UNEMP" numFmtId="0">
      <sharedItems containsSemiMixedTypes="0" containsString="0" containsNumber="1" containsInteger="1" minValue="42" maxValue="471"/>
    </cacheField>
    <cacheField name="E_HBURD" numFmtId="0">
      <sharedItems containsSemiMixedTypes="0" containsString="0" containsNumber="1" containsInteger="1" minValue="787" maxValue="20346"/>
    </cacheField>
    <cacheField name="M_HBURD" numFmtId="0">
      <sharedItems containsSemiMixedTypes="0" containsString="0" containsNumber="1" containsInteger="1" minValue="112" maxValue="1122"/>
    </cacheField>
    <cacheField name="E_NOHSDP" numFmtId="0">
      <sharedItems containsSemiMixedTypes="0" containsString="0" containsNumber="1" containsInteger="1" minValue="327" maxValue="5626"/>
    </cacheField>
    <cacheField name="M_NOHSDP" numFmtId="0">
      <sharedItems containsSemiMixedTypes="0" containsString="0" containsNumber="1" containsInteger="1" minValue="65" maxValue="632"/>
    </cacheField>
    <cacheField name="E_UNINSUR" numFmtId="0">
      <sharedItems containsSemiMixedTypes="0" containsString="0" containsNumber="1" containsInteger="1" minValue="240" maxValue="5127"/>
    </cacheField>
    <cacheField name="M_UNINSUR" numFmtId="0">
      <sharedItems containsSemiMixedTypes="0" containsString="0" containsNumber="1" containsInteger="1" minValue="71" maxValue="636"/>
    </cacheField>
    <cacheField name="E_AGE65" numFmtId="0">
      <sharedItems containsSemiMixedTypes="0" containsString="0" containsNumber="1" containsInteger="1" minValue="1464" maxValue="24654"/>
    </cacheField>
    <cacheField name="M_AGE65" numFmtId="0">
      <sharedItems containsSemiMixedTypes="0" containsString="0" containsNumber="1" containsInteger="1" minValue="26" maxValue="138"/>
    </cacheField>
    <cacheField name="E_AGE17" numFmtId="0">
      <sharedItems containsSemiMixedTypes="0" containsString="0" containsNumber="1" containsInteger="1" minValue="1067" maxValue="29054"/>
    </cacheField>
    <cacheField name="M_AGE17" numFmtId="0">
      <sharedItems containsSemiMixedTypes="0" containsString="0" containsNumber="1" containsInteger="1" minValue="0" maxValue="135"/>
    </cacheField>
    <cacheField name="E_DISABL" numFmtId="0">
      <sharedItems containsSemiMixedTypes="0" containsString="0" containsNumber="1" containsInteger="1" minValue="789" maxValue="18580"/>
    </cacheField>
    <cacheField name="M_DISABL" numFmtId="0">
      <sharedItems containsSemiMixedTypes="0" containsString="0" containsNumber="1" containsInteger="1" minValue="121" maxValue="1140"/>
    </cacheField>
    <cacheField name="E_SNGPNT" numFmtId="0">
      <sharedItems containsSemiMixedTypes="0" containsString="0" containsNumber="1" containsInteger="1" minValue="91" maxValue="2929"/>
    </cacheField>
    <cacheField name="M_SNGPNT" numFmtId="0">
      <sharedItems containsSemiMixedTypes="0" containsString="0" containsNumber="1" containsInteger="1" minValue="39" maxValue="432"/>
    </cacheField>
    <cacheField name="E_LIMENG" numFmtId="0">
      <sharedItems containsSemiMixedTypes="0" containsString="0" containsNumber="1" containsInteger="1" minValue="7" maxValue="2555"/>
    </cacheField>
    <cacheField name="M_LIMENG" numFmtId="0">
      <sharedItems containsSemiMixedTypes="0" containsString="0" containsNumber="1" containsInteger="1" minValue="54" maxValue="518"/>
    </cacheField>
    <cacheField name="E_MINRTY" numFmtId="0">
      <sharedItems containsSemiMixedTypes="0" containsString="0" containsNumber="1" containsInteger="1" minValue="310" maxValue="19650"/>
    </cacheField>
    <cacheField name="M_MINRTY" numFmtId="0">
      <sharedItems containsSemiMixedTypes="0" containsString="0" containsNumber="1" containsInteger="1" minValue="70" maxValue="1142"/>
    </cacheField>
    <cacheField name="E_MUNIT" numFmtId="0">
      <sharedItems containsSemiMixedTypes="0" containsString="0" containsNumber="1" containsInteger="1" minValue="15" maxValue="9195"/>
    </cacheField>
    <cacheField name="M_MUNIT" numFmtId="0">
      <sharedItems containsSemiMixedTypes="0" containsString="0" containsNumber="1" containsInteger="1" minValue="8" maxValue="624"/>
    </cacheField>
    <cacheField name="E_MOBILE" numFmtId="0">
      <sharedItems containsSemiMixedTypes="0" containsString="0" containsNumber="1" containsInteger="1" minValue="516" maxValue="3084"/>
    </cacheField>
    <cacheField name="M_MOBILE" numFmtId="0">
      <sharedItems containsSemiMixedTypes="0" containsString="0" containsNumber="1" containsInteger="1" minValue="83" maxValue="380"/>
    </cacheField>
    <cacheField name="E_CROWD" numFmtId="0">
      <sharedItems containsSemiMixedTypes="0" containsString="0" containsNumber="1" containsInteger="1" minValue="5" maxValue="1067"/>
    </cacheField>
    <cacheField name="M_CROWD" numFmtId="0">
      <sharedItems containsSemiMixedTypes="0" containsString="0" containsNumber="1" containsInteger="1" minValue="5" maxValue="241"/>
    </cacheField>
    <cacheField name="E_NOVEH" numFmtId="0">
      <sharedItems containsSemiMixedTypes="0" containsString="0" containsNumber="1" containsInteger="1" minValue="65" maxValue="4802"/>
    </cacheField>
    <cacheField name="M_NOVEH" numFmtId="0">
      <sharedItems containsSemiMixedTypes="0" containsString="0" containsNumber="1" containsInteger="1" minValue="34" maxValue="527"/>
    </cacheField>
    <cacheField name="E_GROUPQ" numFmtId="0">
      <sharedItems containsSemiMixedTypes="0" containsString="0" containsNumber="1" containsInteger="1" minValue="0" maxValue="9840"/>
    </cacheField>
    <cacheField name="M_GROUPQ" numFmtId="0">
      <sharedItems containsSemiMixedTypes="0" containsString="0" containsNumber="1" containsInteger="1" minValue="12" maxValue="562"/>
    </cacheField>
    <cacheField name="EP_POV150" numFmtId="0">
      <sharedItems containsSemiMixedTypes="0" containsString="0" containsNumber="1" minValue="11.8" maxValue="24.8"/>
    </cacheField>
    <cacheField name="MP_POV150" numFmtId="0">
      <sharedItems containsSemiMixedTypes="0" containsString="0" containsNumber="1" minValue="1.1000000000000001" maxValue="3.5"/>
    </cacheField>
    <cacheField name="EP_UNEMP" numFmtId="0">
      <sharedItems containsSemiMixedTypes="0" containsString="0" containsNumber="1" minValue="3.1" maxValue="5.2"/>
    </cacheField>
    <cacheField name="MP_UNEMP" numFmtId="0">
      <sharedItems containsSemiMixedTypes="0" containsString="0" containsNumber="1" minValue="0.5" maxValue="1.7"/>
    </cacheField>
    <cacheField name="EP_HBURD" numFmtId="0">
      <sharedItems containsSemiMixedTypes="0" containsString="0" containsNumber="1" minValue="26" maxValue="32.5"/>
    </cacheField>
    <cacheField name="MP_HBURD" numFmtId="0">
      <sharedItems containsSemiMixedTypes="0" containsString="0" containsNumber="1" minValue="1.7" maxValue="4.3"/>
    </cacheField>
    <cacheField name="EP_NOHSDP" numFmtId="0">
      <sharedItems containsSemiMixedTypes="0" containsString="0" containsNumber="1" minValue="5.2" maxValue="11.6"/>
    </cacheField>
    <cacheField name="MP_NOHSDP" numFmtId="0">
      <sharedItems containsSemiMixedTypes="0" containsString="0" containsNumber="1" minValue="0.6" maxValue="1.8"/>
    </cacheField>
    <cacheField name="EP_UNINSUR" numFmtId="0">
      <sharedItems containsSemiMixedTypes="0" containsString="0" containsNumber="1" minValue="3.2" maxValue="5.8"/>
    </cacheField>
    <cacheField name="MP_UNINSUR" numFmtId="0">
      <sharedItems containsSemiMixedTypes="0" containsString="0" containsNumber="1" minValue="0.4" maxValue="1.2"/>
    </cacheField>
    <cacheField name="EP_AGE65" numFmtId="0">
      <sharedItems containsSemiMixedTypes="0" containsString="0" containsNumber="1" minValue="15.1" maxValue="26.2"/>
    </cacheField>
    <cacheField name="MP_AGE65" numFmtId="0">
      <sharedItems containsSemiMixedTypes="0" containsString="0" containsNumber="1" minValue="0.1" maxValue="0.6"/>
    </cacheField>
    <cacheField name="EP_AGE17" numFmtId="0">
      <sharedItems containsSemiMixedTypes="0" containsString="0" containsNumber="1" minValue="16.7" maxValue="22.2"/>
    </cacheField>
    <cacheField name="MP_AGE17" numFmtId="0">
      <sharedItems containsSemiMixedTypes="0" containsString="0" containsNumber="1" minValue="0" maxValue="0.4"/>
    </cacheField>
    <cacheField name="EP_DISABL" numFmtId="0">
      <sharedItems containsSemiMixedTypes="0" containsString="0" containsNumber="1" minValue="11.2" maxValue="20.3"/>
    </cacheField>
    <cacheField name="MP_DISABL" numFmtId="0">
      <sharedItems containsSemiMixedTypes="0" containsString="0" containsNumber="1" minValue="0.7" maxValue="2.2999999999999998"/>
    </cacheField>
    <cacheField name="EP_SNGPNT" numFmtId="0">
      <sharedItems containsSemiMixedTypes="0" containsString="0" containsNumber="1" minValue="3.1" maxValue="7"/>
    </cacheField>
    <cacheField name="MP_SNGPNT" numFmtId="0">
      <sharedItems containsSemiMixedTypes="0" containsString="0" containsNumber="1" minValue="0.6" maxValue="1.9"/>
    </cacheField>
    <cacheField name="EP_LIMENG" numFmtId="0">
      <sharedItems containsSemiMixedTypes="0" containsString="0" containsNumber="1" minValue="0.1" maxValue="1.6"/>
    </cacheField>
    <cacheField name="MP_LIMENG" numFmtId="0">
      <sharedItems containsSemiMixedTypes="0" containsString="0" containsNumber="1" minValue="0.2" maxValue="0.9"/>
    </cacheField>
    <cacheField name="EP_MINRTY" numFmtId="0">
      <sharedItems containsSemiMixedTypes="0" containsString="0" containsNumber="1" minValue="4.8" maxValue="12"/>
    </cacheField>
    <cacheField name="MP_MINRTY" numFmtId="0">
      <sharedItems containsSemiMixedTypes="0" containsString="0" containsNumber="1" minValue="0.4" maxValue="2"/>
    </cacheField>
    <cacheField name="EP_MUNIT" numFmtId="0">
      <sharedItems containsSemiMixedTypes="0" containsString="0" containsNumber="1" minValue="0.3" maxValue="13"/>
    </cacheField>
    <cacheField name="MP_MUNIT" numFmtId="0">
      <sharedItems containsSemiMixedTypes="0" containsString="0" containsNumber="1" minValue="0.2" maxValue="1"/>
    </cacheField>
    <cacheField name="EP_MOBILE" numFmtId="0">
      <sharedItems containsSemiMixedTypes="0" containsString="0" containsNumber="1" minValue="4.4000000000000004" maxValue="10.199999999999999"/>
    </cacheField>
    <cacheField name="MP_MOBILE" numFmtId="0">
      <sharedItems containsSemiMixedTypes="0" containsString="0" containsNumber="1" minValue="0.5" maxValue="1.7"/>
    </cacheField>
    <cacheField name="EP_CROWD" numFmtId="0">
      <sharedItems containsSemiMixedTypes="0" containsString="0" containsNumber="1" minValue="0.2" maxValue="4.2"/>
    </cacheField>
    <cacheField name="MP_CROWD" numFmtId="0">
      <sharedItems containsSemiMixedTypes="0" containsString="0" containsNumber="1" minValue="0.2" maxValue="1.2"/>
    </cacheField>
    <cacheField name="EP_NOVEH" numFmtId="0">
      <sharedItems containsSemiMixedTypes="0" containsString="0" containsNumber="1" minValue="2.2000000000000002" maxValue="9.1999999999999993"/>
    </cacheField>
    <cacheField name="MP_NOVEH" numFmtId="0">
      <sharedItems containsSemiMixedTypes="0" containsString="0" containsNumber="1" minValue="0.8" maxValue="2.1"/>
    </cacheField>
    <cacheField name="EP_GROUPQ" numFmtId="0">
      <sharedItems containsSemiMixedTypes="0" containsString="0" containsNumber="1" minValue="0" maxValue="8.5"/>
    </cacheField>
    <cacheField name="MP_GROUPQ" numFmtId="0">
      <sharedItems containsSemiMixedTypes="0" containsString="0" containsNumber="1" minValue="0.2" maxValue="0.8"/>
    </cacheField>
    <cacheField name="EPL_POV150" numFmtId="0">
      <sharedItems containsSemiMixedTypes="0" containsString="0" containsNumber="1" minValue="0" maxValue="1"/>
    </cacheField>
    <cacheField name="EPL_UNEMP" numFmtId="0">
      <sharedItems containsSemiMixedTypes="0" containsString="0" containsNumber="1" minValue="0" maxValue="1"/>
    </cacheField>
    <cacheField name="EPL_HBURD" numFmtId="0">
      <sharedItems containsSemiMixedTypes="0" containsString="0" containsNumber="1" minValue="0" maxValue="1"/>
    </cacheField>
    <cacheField name="EPL_NOHSDP" numFmtId="0">
      <sharedItems containsSemiMixedTypes="0" containsString="0" containsNumber="1" minValue="0" maxValue="1"/>
    </cacheField>
    <cacheField name="EPL_UNINSUR" numFmtId="0">
      <sharedItems containsSemiMixedTypes="0" containsString="0" containsNumber="1" minValue="0" maxValue="1"/>
    </cacheField>
    <cacheField name="SPL_THEME1" numFmtId="0">
      <sharedItems containsSemiMixedTypes="0" containsString="0" containsNumber="1" minValue="1.4616" maxValue="3.8460999999999999"/>
    </cacheField>
    <cacheField name="RPL_THEME1" numFmtId="0">
      <sharedItems containsSemiMixedTypes="0" containsString="0" containsNumber="1" minValue="0" maxValue="1"/>
    </cacheField>
    <cacheField name="EPL_AGE65" numFmtId="0">
      <sharedItems containsSemiMixedTypes="0" containsString="0" containsNumber="1" minValue="0" maxValue="1"/>
    </cacheField>
    <cacheField name="EPL_AGE17" numFmtId="0">
      <sharedItems containsSemiMixedTypes="0" containsString="0" containsNumber="1" minValue="0" maxValue="1"/>
    </cacheField>
    <cacheField name="EPL_DISABL" numFmtId="0">
      <sharedItems containsSemiMixedTypes="0" containsString="0" containsNumber="1" minValue="0" maxValue="1"/>
    </cacheField>
    <cacheField name="EPL_SNGPNT" numFmtId="0">
      <sharedItems containsSemiMixedTypes="0" containsString="0" containsNumber="1" minValue="0" maxValue="1"/>
    </cacheField>
    <cacheField name="EPL_LIMENG" numFmtId="0">
      <sharedItems containsSemiMixedTypes="0" containsString="0" containsNumber="1" minValue="0" maxValue="1"/>
    </cacheField>
    <cacheField name="SPL_THEME2" numFmtId="0">
      <sharedItems containsSemiMixedTypes="0" containsString="0" containsNumber="1" minValue="0.69230000000000003" maxValue="3.4615999999999998"/>
    </cacheField>
    <cacheField name="RPL_THEME2" numFmtId="0">
      <sharedItems containsSemiMixedTypes="0" containsString="0" containsNumber="1" minValue="0" maxValue="1"/>
    </cacheField>
    <cacheField name="EPL_MINRTY" numFmtId="0">
      <sharedItems containsSemiMixedTypes="0" containsString="0" containsNumber="1" minValue="0" maxValue="1"/>
    </cacheField>
    <cacheField name="SPL_THEME3" numFmtId="0">
      <sharedItems containsSemiMixedTypes="0" containsString="0" containsNumber="1" minValue="0" maxValue="1"/>
    </cacheField>
    <cacheField name="RPL_THEME3" numFmtId="0">
      <sharedItems containsSemiMixedTypes="0" containsString="0" containsNumber="1" minValue="0" maxValue="1"/>
    </cacheField>
    <cacheField name="EPL_MUNIT" numFmtId="0">
      <sharedItems containsSemiMixedTypes="0" containsString="0" containsNumber="1" minValue="0" maxValue="1"/>
    </cacheField>
    <cacheField name="EPL_MOBILE" numFmtId="0">
      <sharedItems containsSemiMixedTypes="0" containsString="0" containsNumber="1" minValue="0" maxValue="1"/>
    </cacheField>
    <cacheField name="EPL_CROWD" numFmtId="0">
      <sharedItems containsSemiMixedTypes="0" containsString="0" containsNumber="1" minValue="0" maxValue="1"/>
    </cacheField>
    <cacheField name="EPL_NOVEH" numFmtId="0">
      <sharedItems containsSemiMixedTypes="0" containsString="0" containsNumber="1" minValue="0" maxValue="1"/>
    </cacheField>
    <cacheField name="EPL_GROUPQ" numFmtId="0">
      <sharedItems containsSemiMixedTypes="0" containsString="0" containsNumber="1" minValue="0" maxValue="1"/>
    </cacheField>
    <cacheField name="SPL_THEME4" numFmtId="0">
      <sharedItems containsSemiMixedTypes="0" containsString="0" containsNumber="1" minValue="0.84619999999999995" maxValue="3.6154000000000002"/>
    </cacheField>
    <cacheField name="RPL_THEME4" numFmtId="0">
      <sharedItems containsSemiMixedTypes="0" containsString="0" containsNumber="1" minValue="0" maxValue="1"/>
    </cacheField>
    <cacheField name="SPL_THEMES" numFmtId="0">
      <sharedItems containsSemiMixedTypes="0" containsString="0" containsNumber="1" minValue="3.9232" maxValue="10.461600000000001"/>
    </cacheField>
    <cacheField name="RPL_THEMES" numFmtId="0">
      <sharedItems containsSemiMixedTypes="0" containsString="0" containsNumber="1" minValue="0" maxValue="1"/>
    </cacheField>
    <cacheField name="F_POV150" numFmtId="0">
      <sharedItems containsSemiMixedTypes="0" containsString="0" containsNumber="1" containsInteger="1" minValue="0" maxValue="1"/>
    </cacheField>
    <cacheField name="F_UNEMP" numFmtId="0">
      <sharedItems containsSemiMixedTypes="0" containsString="0" containsNumber="1" containsInteger="1" minValue="0" maxValue="1"/>
    </cacheField>
    <cacheField name="F_HBURD" numFmtId="0">
      <sharedItems containsSemiMixedTypes="0" containsString="0" containsNumber="1" containsInteger="1" minValue="0" maxValue="1"/>
    </cacheField>
    <cacheField name="F_NOHSDP" numFmtId="0">
      <sharedItems containsSemiMixedTypes="0" containsString="0" containsNumber="1" containsInteger="1" minValue="0" maxValue="1"/>
    </cacheField>
    <cacheField name="F_UNINSUR" numFmtId="0">
      <sharedItems containsSemiMixedTypes="0" containsString="0" containsNumber="1" containsInteger="1" minValue="0" maxValue="1"/>
    </cacheField>
    <cacheField name="F_THEME1" numFmtId="0">
      <sharedItems containsSemiMixedTypes="0" containsString="0" containsNumber="1" containsInteger="1" minValue="0" maxValue="3"/>
    </cacheField>
    <cacheField name="F_AGE65" numFmtId="0">
      <sharedItems containsSemiMixedTypes="0" containsString="0" containsNumber="1" containsInteger="1" minValue="0" maxValue="1"/>
    </cacheField>
    <cacheField name="F_AGE17" numFmtId="0">
      <sharedItems containsSemiMixedTypes="0" containsString="0" containsNumber="1" containsInteger="1" minValue="0" maxValue="1"/>
    </cacheField>
    <cacheField name="F_DISABL" numFmtId="0">
      <sharedItems containsSemiMixedTypes="0" containsString="0" containsNumber="1" containsInteger="1" minValue="0" maxValue="1"/>
    </cacheField>
    <cacheField name="F_SNGPNT" numFmtId="0">
      <sharedItems containsSemiMixedTypes="0" containsString="0" containsNumber="1" containsInteger="1" minValue="0" maxValue="1"/>
    </cacheField>
    <cacheField name="F_LIMENG" numFmtId="0">
      <sharedItems containsSemiMixedTypes="0" containsString="0" containsNumber="1" containsInteger="1" minValue="0" maxValue="1"/>
    </cacheField>
    <cacheField name="F_THEME2" numFmtId="0">
      <sharedItems containsSemiMixedTypes="0" containsString="0" containsNumber="1" containsInteger="1" minValue="0" maxValue="2"/>
    </cacheField>
    <cacheField name="F_MINRTY" numFmtId="0">
      <sharedItems containsSemiMixedTypes="0" containsString="0" containsNumber="1" containsInteger="1" minValue="0" maxValue="1"/>
    </cacheField>
    <cacheField name="F_THEME3" numFmtId="0">
      <sharedItems containsSemiMixedTypes="0" containsString="0" containsNumber="1" containsInteger="1" minValue="0" maxValue="1"/>
    </cacheField>
    <cacheField name="F_MUNIT" numFmtId="0">
      <sharedItems containsSemiMixedTypes="0" containsString="0" containsNumber="1" containsInteger="1" minValue="0" maxValue="1"/>
    </cacheField>
    <cacheField name="F_MOBILE" numFmtId="0">
      <sharedItems containsSemiMixedTypes="0" containsString="0" containsNumber="1" containsInteger="1" minValue="0" maxValue="1"/>
    </cacheField>
    <cacheField name="F_CROWD" numFmtId="0">
      <sharedItems containsSemiMixedTypes="0" containsString="0" containsNumber="1" containsInteger="1" minValue="0" maxValue="1"/>
    </cacheField>
    <cacheField name="F_NOVEH" numFmtId="0">
      <sharedItems containsSemiMixedTypes="0" containsString="0" containsNumber="1" containsInteger="1" minValue="0" maxValue="1"/>
    </cacheField>
    <cacheField name="F_GROUPQ" numFmtId="0">
      <sharedItems containsSemiMixedTypes="0" containsString="0" containsNumber="1" containsInteger="1" minValue="0" maxValue="1"/>
    </cacheField>
    <cacheField name="F_THEME4" numFmtId="0">
      <sharedItems containsSemiMixedTypes="0" containsString="0" containsNumber="1" containsInteger="1" minValue="0" maxValue="2"/>
    </cacheField>
    <cacheField name="F_TOTAL" numFmtId="0">
      <sharedItems containsSemiMixedTypes="0" containsString="0" containsNumber="1" containsInteger="1" minValue="1" maxValue="7"/>
    </cacheField>
    <cacheField name="E_DAYPOP" numFmtId="0">
      <sharedItems containsSemiMixedTypes="0" containsString="0" containsNumber="1" containsInteger="1" minValue="3886" maxValue="186233"/>
    </cacheField>
    <cacheField name="E_NOINT" numFmtId="0">
      <sharedItems containsSemiMixedTypes="0" containsString="0" containsNumber="1" containsInteger="1" minValue="572" maxValue="15870"/>
    </cacheField>
    <cacheField name="M_NOINT" numFmtId="0">
      <sharedItems containsSemiMixedTypes="0" containsString="0" containsNumber="1" containsInteger="1" minValue="108" maxValue="1876"/>
    </cacheField>
    <cacheField name="E_AFAM" numFmtId="0">
      <sharedItems containsSemiMixedTypes="0" containsString="0" containsNumber="1" containsInteger="1" minValue="46" maxValue="4157"/>
    </cacheField>
    <cacheField name="M_AFAM" numFmtId="0">
      <sharedItems containsSemiMixedTypes="0" containsString="0" containsNumber="1" containsInteger="1" minValue="28" maxValue="313"/>
    </cacheField>
    <cacheField name="E_HISP" numFmtId="0">
      <sharedItems containsSemiMixedTypes="0" containsString="0" containsNumber="1" containsInteger="1" minValue="86" maxValue="3956"/>
    </cacheField>
    <cacheField name="M_HISP" numFmtId="0">
      <sharedItems containsSemiMixedTypes="0" containsString="0" containsNumber="1" containsInteger="1" minValue="0" maxValue="14"/>
    </cacheField>
    <cacheField name="E_ASIAN" numFmtId="0">
      <sharedItems containsSemiMixedTypes="0" containsString="0" containsNumber="1" containsInteger="1" minValue="27" maxValue="6160"/>
    </cacheField>
    <cacheField name="M_ASIAN" numFmtId="0">
      <sharedItems containsSemiMixedTypes="0" containsString="0" containsNumber="1" containsInteger="1" minValue="11" maxValue="673"/>
    </cacheField>
    <cacheField name="E_AIAN" numFmtId="0">
      <sharedItems containsSemiMixedTypes="0" containsString="0" containsNumber="1" containsInteger="1" minValue="4" maxValue="255"/>
    </cacheField>
    <cacheField name="M_AIAN" numFmtId="0">
      <sharedItems containsSemiMixedTypes="0" containsString="0" containsNumber="1" containsInteger="1" minValue="7" maxValue="124"/>
    </cacheField>
    <cacheField name="E_NHPI" numFmtId="0">
      <sharedItems containsSemiMixedTypes="0" containsString="0" containsNumber="1" containsInteger="1" minValue="0" maxValue="46"/>
    </cacheField>
    <cacheField name="M_NHPI" numFmtId="0">
      <sharedItems containsSemiMixedTypes="0" containsString="0" containsNumber="1" containsInteger="1" minValue="12" maxValue="68"/>
    </cacheField>
    <cacheField name="E_TWOMORE" numFmtId="0">
      <sharedItems containsSemiMixedTypes="0" containsString="0" containsNumber="1" containsInteger="1" minValue="143" maxValue="4741"/>
    </cacheField>
    <cacheField name="M_TWOMORE" numFmtId="0">
      <sharedItems containsSemiMixedTypes="0" containsString="0" containsNumber="1" containsInteger="1" minValue="50" maxValue="800"/>
    </cacheField>
    <cacheField name="E_OTHERRACE" numFmtId="0">
      <sharedItems containsSemiMixedTypes="0" containsString="0" containsNumber="1" containsInteger="1" minValue="2" maxValue="337"/>
    </cacheField>
    <cacheField name="M_OTHERRACE" numFmtId="0">
      <sharedItems containsSemiMixedTypes="0" containsString="0" containsNumber="1" containsInteger="1" minValue="2" maxValue="337"/>
    </cacheField>
    <cacheField name="EP_NOINT" numFmtId="0">
      <sharedItems containsSemiMixedTypes="0" containsString="0" containsNumber="1" minValue="8.1" maxValue="28"/>
    </cacheField>
    <cacheField name="MP_NOINT" numFmtId="0">
      <sharedItems containsSemiMixedTypes="0" containsString="0" containsNumber="1" minValue="0" maxValue="0.2"/>
    </cacheField>
    <cacheField name="EP_AFAM" numFmtId="0">
      <sharedItems containsSemiMixedTypes="0" containsString="0" containsNumber="1" minValue="0.4" maxValue="2.5"/>
    </cacheField>
    <cacheField name="MP_AFAM" numFmtId="0">
      <sharedItems containsSemiMixedTypes="0" containsString="0" containsNumber="1" minValue="0.1" maxValue="0.6"/>
    </cacheField>
    <cacheField name="EP_HISP" numFmtId="0">
      <sharedItems containsSemiMixedTypes="0" containsString="0" containsNumber="1" minValue="1.4" maxValue="2.4"/>
    </cacheField>
    <cacheField name="MP_HISP" numFmtId="0">
      <sharedItems containsSemiMixedTypes="0" containsString="0" containsNumber="1" minValue="0" maxValue="0.1"/>
    </cacheField>
    <cacheField name="EP_ASIAN" numFmtId="0">
      <sharedItems containsSemiMixedTypes="0" containsString="0" containsNumber="1" minValue="0.2" maxValue="3.8"/>
    </cacheField>
    <cacheField name="MP_ASIAN" numFmtId="0">
      <sharedItems containsSemiMixedTypes="0" containsString="0" containsNumber="1" minValue="0.1" maxValue="0.4"/>
    </cacheField>
    <cacheField name="EP_AIAN" numFmtId="0">
      <sharedItems containsSemiMixedTypes="0" containsString="0" containsNumber="1" minValue="0.1" maxValue="1.4"/>
    </cacheField>
    <cacheField name="MP_AIAN" numFmtId="0">
      <sharedItems containsSemiMixedTypes="0" containsString="0" containsNumber="1" minValue="0.1" maxValue="1.2"/>
    </cacheField>
    <cacheField name="EP_NHPI" numFmtId="0">
      <sharedItems containsSemiMixedTypes="0" containsString="0" containsNumber="1" minValue="0" maxValue="0.1"/>
    </cacheField>
    <cacheField name="MP_NHPI" numFmtId="0">
      <sharedItems containsSemiMixedTypes="0" containsString="0" containsNumber="1" minValue="0.1" maxValue="0.4"/>
    </cacheField>
    <cacheField name="EP_TWOMORE" numFmtId="0">
      <sharedItems containsSemiMixedTypes="0" containsString="0" containsNumber="1" minValue="1.8" maxValue="3.1"/>
    </cacheField>
    <cacheField name="MP_TWOMORE" numFmtId="0">
      <sharedItems containsSemiMixedTypes="0" containsString="0" containsNumber="1" minValue="0.3" maxValue="1.3"/>
    </cacheField>
    <cacheField name="EP_OTHERRACE" numFmtId="0">
      <sharedItems containsSemiMixedTypes="0" containsString="0" containsNumber="1" minValue="0" maxValue="0.5"/>
    </cacheField>
    <cacheField name="MP_OTHERRACE" numFmtId="0">
      <sharedItems containsSemiMixedTypes="0" containsString="0" containsNumber="1" minValue="0.1" maxValue="0.5"/>
    </cacheField>
    <cacheField name="# deaths due to COVID-19 during 2020" numFmtId="1">
      <sharedItems containsString="0" containsBlank="1" containsNumber="1" containsInteger="1" minValue="25" maxValue="62"/>
    </cacheField>
    <cacheField name="COVID-19 death rate" numFmtId="1">
      <sharedItems containsString="0" containsBlank="1" containsNumber="1" minValue="30.545267003999999" maxValue="43.011450912999997"/>
    </cacheField>
    <cacheField name="Life Expectancy" numFmtId="164">
      <sharedItems containsSemiMixedTypes="0" containsString="0" containsNumber="1" minValue="77.218169615999997" maxValue="81.721401327999999"/>
    </cacheField>
    <cacheField name="95% CI - Low" numFmtId="164">
      <sharedItems containsSemiMixedTypes="0" containsString="0" containsNumber="1" minValue="76.482140154000007" maxValue="81.279129404000003"/>
    </cacheField>
    <cacheField name="95% CI - High" numFmtId="164">
      <sharedItems containsSemiMixedTypes="0" containsString="0" containsNumber="1" minValue="77.954199078000002" maxValue="82.761437475999998"/>
    </cacheField>
    <cacheField name="Life Expectancy (AIAN)" numFmtId="164">
      <sharedItems containsNonDate="0" containsString="0" containsBlank="1"/>
    </cacheField>
    <cacheField name="Life Expectancy (AIAN) 95% CI - Low" numFmtId="164">
      <sharedItems containsNonDate="0" containsString="0" containsBlank="1"/>
    </cacheField>
    <cacheField name="Life Expectancy (AIAN) 95% CI - High" numFmtId="164">
      <sharedItems containsNonDate="0" containsString="0" containsBlank="1"/>
    </cacheField>
    <cacheField name="Life Expectancy (Asian)" numFmtId="164">
      <sharedItems containsString="0" containsBlank="1" containsNumber="1" minValue="85.532515568999997" maxValue="85.532515568999997"/>
    </cacheField>
    <cacheField name="Life Expectancy (Asian) 95% CI - Low" numFmtId="164">
      <sharedItems containsString="0" containsBlank="1" containsNumber="1" minValue="81.514476118999994" maxValue="81.514476118999994"/>
    </cacheField>
    <cacheField name="Life Expectancy (Asian) 95% CI - High" numFmtId="164">
      <sharedItems containsString="0" containsBlank="1" containsNumber="1" minValue="89.550555019000001" maxValue="89.550555019000001"/>
    </cacheField>
    <cacheField name="Life Expectancy (Black)" numFmtId="164">
      <sharedItems containsString="0" containsBlank="1" containsNumber="1" minValue="77.448706143999999" maxValue="77.448706143999999"/>
    </cacheField>
    <cacheField name="Life Expectancy (Black) 95% CI - Low" numFmtId="164">
      <sharedItems containsString="0" containsBlank="1" containsNumber="1" minValue="71.761965809000003" maxValue="71.761965809000003"/>
    </cacheField>
    <cacheField name="Life Expectancy (Black) 95% CI - High" numFmtId="164">
      <sharedItems containsString="0" containsBlank="1" containsNumber="1" minValue="83.135446479999999" maxValue="83.135446479999999"/>
    </cacheField>
    <cacheField name="Life Expectancy (Hispanic)" numFmtId="164">
      <sharedItems containsString="0" containsBlank="1" containsNumber="1" minValue="90.827089866999998" maxValue="90.827089866999998"/>
    </cacheField>
    <cacheField name="Life Expectancy (Hispanic) 95% CI - Low" numFmtId="164">
      <sharedItems containsString="0" containsBlank="1" containsNumber="1" minValue="75.483728662000004" maxValue="75.483728662000004"/>
    </cacheField>
    <cacheField name="Life Expectancy (Hispanic) 95% CI - High" numFmtId="164">
      <sharedItems containsString="0" containsBlank="1" containsNumber="1" minValue="106.17045107" maxValue="106.17045107"/>
    </cacheField>
    <cacheField name="Life Expectancy (white)" numFmtId="164">
      <sharedItems containsString="0" containsBlank="1" containsNumber="1" minValue="81.750002189" maxValue="81.750002189"/>
    </cacheField>
    <cacheField name="Life Expectancy (white) 95% CI - Low" numFmtId="164">
      <sharedItems containsString="0" containsBlank="1" containsNumber="1" minValue="81.298645344999997" maxValue="81.298645344999997"/>
    </cacheField>
    <cacheField name="Life Expectancy (white) 95% CI - High" numFmtId="164">
      <sharedItems containsString="0" containsBlank="1" containsNumber="1" minValue="82.201359033000003" maxValue="82.201359033000003"/>
    </cacheField>
    <cacheField name="# Deaths" numFmtId="1">
      <sharedItems containsSemiMixedTypes="0" containsString="0" containsNumber="1" containsInteger="1" minValue="87" maxValue="1365"/>
    </cacheField>
    <cacheField name="Age-adjusted Death Rate" numFmtId="1">
      <sharedItems containsSemiMixedTypes="0" containsString="0" containsNumber="1" minValue="244.81422305000001" maxValue="393.03136088000002"/>
    </cacheField>
    <cacheField name="95% CI - Low2" numFmtId="1">
      <sharedItems containsSemiMixedTypes="0" containsString="0" containsNumber="1" minValue="198.82563026" maxValue="362.65837871999997"/>
    </cacheField>
    <cacheField name="95% CI - High2" numFmtId="1">
      <sharedItems containsSemiMixedTypes="0" containsString="0" containsNumber="1" minValue="258.29389350000002" maxValue="445.80959465000001"/>
    </cacheField>
    <cacheField name="Age-Adjusted Mortality (AIAN)" numFmtId="1">
      <sharedItems containsNonDate="0" containsString="0" containsBlank="1"/>
    </cacheField>
    <cacheField name="Age-Adjusted Mortality (AIAN) 95% CI - Low" numFmtId="1">
      <sharedItems containsNonDate="0" containsString="0" containsBlank="1"/>
    </cacheField>
    <cacheField name="Age-Adjusted Mortality (AIAN) 95% CI - High" numFmtId="1">
      <sharedItems containsNonDate="0" containsString="0" containsBlank="1"/>
    </cacheField>
    <cacheField name="Age-Adjusted Mortality (Asian)" numFmtId="1">
      <sharedItems containsString="0" containsBlank="1" containsNumber="1" minValue="173.74813416000001" maxValue="173.74813416000001"/>
    </cacheField>
    <cacheField name="Age-Adjusted Mortality (Asian) 95% CI - Low" numFmtId="1">
      <sharedItems containsString="0" containsBlank="1" containsNumber="1" minValue="118.05342745999999" maxValue="118.05342745999999"/>
    </cacheField>
    <cacheField name="Age-Adjusted Mortality (Asian) 95% CI - High" numFmtId="1">
      <sharedItems containsString="0" containsBlank="1" containsNumber="1" minValue="246.62160743999999" maxValue="246.62160743999999"/>
    </cacheField>
    <cacheField name="Age-Adjusted Mortality (Black)" numFmtId="1">
      <sharedItems containsString="0" containsBlank="1" containsNumber="1" minValue="455.45700219999998" maxValue="455.45700219999998"/>
    </cacheField>
    <cacheField name="Age-Adjusted Mortality (Black) 95% CI - Low" numFmtId="1">
      <sharedItems containsString="0" containsBlank="1" containsNumber="1" minValue="305.0267025" maxValue="305.0267025"/>
    </cacheField>
    <cacheField name="Age-Adjusted Mortality (Black) 95% CI - High" numFmtId="1">
      <sharedItems containsString="0" containsBlank="1" containsNumber="1" minValue="654.11222913999995" maxValue="654.11222913999995"/>
    </cacheField>
    <cacheField name="Age-Adjusted Mortality (Hispanic)" numFmtId="1">
      <sharedItems containsNonDate="0" containsString="0" containsBlank="1"/>
    </cacheField>
    <cacheField name="Age-Adjusted Mortality (Hispanic) 95% CI - Low" numFmtId="1">
      <sharedItems containsNonDate="0" containsString="0" containsBlank="1"/>
    </cacheField>
    <cacheField name="Age-Adjusted Mortality (Hispanic) 95% CI - High" numFmtId="1">
      <sharedItems containsNonDate="0" containsString="0" containsBlank="1"/>
    </cacheField>
    <cacheField name="Age-Adjusted Mortality (white)" numFmtId="1">
      <sharedItems containsString="0" containsBlank="1" containsNumber="1" minValue="242.54403066" maxValue="242.54403066"/>
    </cacheField>
    <cacheField name="Age-Adjusted Mortality (white) 95% CI - Low" numFmtId="1">
      <sharedItems containsString="0" containsBlank="1" containsNumber="1" minValue="228.57911186000001" maxValue="228.57911186000001"/>
    </cacheField>
    <cacheField name="Age-Adjusted Mortality (white) 95% CI - High" numFmtId="1">
      <sharedItems containsString="0" containsBlank="1" containsNumber="1" minValue="256.50894946" maxValue="256.50894946"/>
    </cacheField>
    <cacheField name="# Deaths2" numFmtId="1">
      <sharedItems containsString="0" containsBlank="1" containsNumber="1" containsInteger="1" minValue="10" maxValue="44"/>
    </cacheField>
    <cacheField name="Child Mortality Rate" numFmtId="1">
      <sharedItems containsString="0" containsBlank="1" containsNumber="1" minValue="29.798743867999999" maxValue="52.973116144000002"/>
    </cacheField>
    <cacheField name="95% CI - Low3" numFmtId="1">
      <sharedItems containsString="0" containsBlank="1" containsNumber="1" minValue="15.656041178000001" maxValue="30.278712931000001"/>
    </cacheField>
    <cacheField name="95% CI - High3" numFmtId="1">
      <sharedItems containsString="0" containsBlank="1" containsNumber="1" minValue="50.956759542999997" maxValue="86.927377774999997"/>
    </cacheField>
    <cacheField name="Child Mortality Rate (AIAN)" numFmtId="1">
      <sharedItems containsNonDate="0" containsString="0" containsBlank="1"/>
    </cacheField>
    <cacheField name="Child Mortality Rate (AIAN) 95% CI - Low" numFmtId="1">
      <sharedItems containsNonDate="0" containsString="0" containsBlank="1"/>
    </cacheField>
    <cacheField name="Child Mortality Rate (AIAN) 95% CI - High" numFmtId="1">
      <sharedItems containsNonDate="0" containsString="0" containsBlank="1"/>
    </cacheField>
    <cacheField name="Child Mortality Rate (Asian)" numFmtId="1">
      <sharedItems containsNonDate="0" containsString="0" containsBlank="1"/>
    </cacheField>
    <cacheField name="Child Mortality Rate (Asian) 95% CI - Low" numFmtId="1">
      <sharedItems containsNonDate="0" containsString="0" containsBlank="1"/>
    </cacheField>
    <cacheField name="Child Mortality Rate (Asian) 95% CI - High" numFmtId="1">
      <sharedItems containsNonDate="0" containsString="0" containsBlank="1"/>
    </cacheField>
    <cacheField name="Child Mortality Rate (Black)" numFmtId="1">
      <sharedItems containsNonDate="0" containsString="0" containsBlank="1"/>
    </cacheField>
    <cacheField name="Child Mortality Rate (Black) 95% CI - Low" numFmtId="1">
      <sharedItems containsNonDate="0" containsString="0" containsBlank="1"/>
    </cacheField>
    <cacheField name="Child Mortality Rate (Black) 95% CI - High" numFmtId="1">
      <sharedItems containsNonDate="0" containsString="0" containsBlank="1"/>
    </cacheField>
    <cacheField name="Child Mortality Rate (Hispanic)" numFmtId="1">
      <sharedItems containsNonDate="0" containsString="0" containsBlank="1"/>
    </cacheField>
    <cacheField name="Child Mortality Rate (Hispanic) 95% CI - Low" numFmtId="1">
      <sharedItems containsNonDate="0" containsString="0" containsBlank="1"/>
    </cacheField>
    <cacheField name="Child Mortality Rate (Hispanic) 95% CI - High" numFmtId="1">
      <sharedItems containsNonDate="0" containsString="0" containsBlank="1"/>
    </cacheField>
    <cacheField name="Child Mortality Rate (white)" numFmtId="1">
      <sharedItems containsNonDate="0" containsString="0" containsBlank="1"/>
    </cacheField>
    <cacheField name="Child Mortality Rate (white) 95% CI - Low" numFmtId="1">
      <sharedItems containsNonDate="0" containsString="0" containsBlank="1"/>
    </cacheField>
    <cacheField name="Child Mortality Rate (white) 95% CI - High" numFmtId="1">
      <sharedItems containsNonDate="0" containsString="0" containsBlank="1"/>
    </cacheField>
    <cacheField name="# Deaths3" numFmtId="1">
      <sharedItems containsString="0" containsBlank="1" containsNumber="1" containsInteger="1" minValue="46" maxValue="46"/>
    </cacheField>
    <cacheField name="Infant Mortality Rate" numFmtId="1">
      <sharedItems containsString="0" containsBlank="1" containsNumber="1" minValue="4.2201834861999998" maxValue="4.2201834861999998"/>
    </cacheField>
    <cacheField name="95% CI - Low4" numFmtId="1">
      <sharedItems containsString="0" containsBlank="1" containsNumber="1" minValue="3.0897047164" maxValue="3.0897047164"/>
    </cacheField>
    <cacheField name="95% CI - High4" numFmtId="1">
      <sharedItems containsString="0" containsBlank="1" containsNumber="1" minValue="5.6291333678999997" maxValue="5.6291333678999997"/>
    </cacheField>
    <cacheField name="Infant Mortality Rate (AIAN)" numFmtId="1">
      <sharedItems containsNonDate="0" containsString="0" containsBlank="1"/>
    </cacheField>
    <cacheField name="Infant Mortality Rate (AIAN) 95% CI - Low" numFmtId="1">
      <sharedItems containsNonDate="0" containsString="0" containsBlank="1"/>
    </cacheField>
    <cacheField name="Infant Mortality Rate (AIAN) 95% CI - High" numFmtId="1">
      <sharedItems containsNonDate="0" containsString="0" containsBlank="1"/>
    </cacheField>
    <cacheField name="Infant Mortality Rate (Asian)" numFmtId="1">
      <sharedItems containsNonDate="0" containsString="0" containsBlank="1"/>
    </cacheField>
    <cacheField name="Infant Mortality Rate (Asian) 95% CI - Low" numFmtId="1">
      <sharedItems containsNonDate="0" containsString="0" containsBlank="1"/>
    </cacheField>
    <cacheField name="Infant Mortality Rate (Asian) 95% CI - High" numFmtId="1">
      <sharedItems containsNonDate="0" containsString="0" containsBlank="1"/>
    </cacheField>
    <cacheField name="Infant Mortality Rate (Black)" numFmtId="1">
      <sharedItems containsNonDate="0" containsString="0" containsBlank="1"/>
    </cacheField>
    <cacheField name="Infant Mortality Rate (Black) 95% CI - Low" numFmtId="1">
      <sharedItems containsNonDate="0" containsString="0" containsBlank="1"/>
    </cacheField>
    <cacheField name="Infant Mortality Rate (Black) 95% CI - High" numFmtId="1">
      <sharedItems containsNonDate="0" containsString="0" containsBlank="1"/>
    </cacheField>
    <cacheField name="Infant Mortality Rate (Hispanic)" numFmtId="1">
      <sharedItems containsNonDate="0" containsString="0" containsBlank="1"/>
    </cacheField>
    <cacheField name="Infant Mortality Rate (Hispanic) 95% CI - Low" numFmtId="1">
      <sharedItems containsNonDate="0" containsString="0" containsBlank="1"/>
    </cacheField>
    <cacheField name="Infant Mortality Rate (Hispanic) 95% CI - High" numFmtId="1">
      <sharedItems containsNonDate="0" containsString="0" containsBlank="1"/>
    </cacheField>
    <cacheField name="Infant Mortality Rate (white)" numFmtId="1">
      <sharedItems containsNonDate="0" containsString="0" containsBlank="1"/>
    </cacheField>
    <cacheField name="Infant Mortality Rate (white) 95% CI - Low" numFmtId="1">
      <sharedItems containsNonDate="0" containsString="0" containsBlank="1"/>
    </cacheField>
    <cacheField name="Infant Mortality Rate (white) 95% CI - High" numFmtId="1">
      <sharedItems containsNonDate="0" containsString="0" containsBlank="1"/>
    </cacheField>
    <cacheField name="# Frequent Physical Distress" numFmtId="1">
      <sharedItems containsSemiMixedTypes="0" containsString="0" containsNumber="1" containsInteger="1" minValue="738" maxValue="16924"/>
    </cacheField>
    <cacheField name="% Frequent Physical Distress" numFmtId="1">
      <sharedItems containsSemiMixedTypes="0" containsString="0" containsNumber="1" minValue="10.199999999999999" maxValue="13.5"/>
    </cacheField>
    <cacheField name="95% CI - Low5" numFmtId="1">
      <sharedItems containsSemiMixedTypes="0" containsString="0" containsNumber="1" minValue="9.1" maxValue="12"/>
    </cacheField>
    <cacheField name="95% CI - High5" numFmtId="1">
      <sharedItems containsSemiMixedTypes="0" containsString="0" containsNumber="1" minValue="11.5" maxValue="14.9"/>
    </cacheField>
    <cacheField name="# Frequent Mental Distress" numFmtId="1">
      <sharedItems containsSemiMixedTypes="0" containsString="0" containsNumber="1" containsInteger="1" minValue="939" maxValue="21360"/>
    </cacheField>
    <cacheField name="% Frequent Mental Distress" numFmtId="1">
      <sharedItems containsSemiMixedTypes="0" containsString="0" containsNumber="1" minValue="13" maxValue="16.600000000000001"/>
    </cacheField>
    <cacheField name="95% CI - Low6" numFmtId="1">
      <sharedItems containsSemiMixedTypes="0" containsString="0" containsNumber="1" minValue="11.6" maxValue="14.9"/>
    </cacheField>
    <cacheField name="95% CI - High6" numFmtId="1">
      <sharedItems containsSemiMixedTypes="0" containsString="0" containsNumber="1" minValue="14.5" maxValue="18"/>
    </cacheField>
    <cacheField name="# Adults with Diabetes" numFmtId="1">
      <sharedItems containsSemiMixedTypes="0" containsString="0" containsNumber="1" containsInteger="1" minValue="487" maxValue="10844"/>
    </cacheField>
    <cacheField name="% Adults with Diabetes" numFmtId="1">
      <sharedItems containsSemiMixedTypes="0" containsString="0" containsNumber="1" minValue="6.6" maxValue="8.8000000000000007"/>
    </cacheField>
    <cacheField name="95% CI - Low7" numFmtId="1">
      <sharedItems containsSemiMixedTypes="0" containsString="0" containsNumber="1" minValue="6" maxValue="8.1"/>
    </cacheField>
    <cacheField name="95% CI - High7" numFmtId="1">
      <sharedItems containsSemiMixedTypes="0" containsString="0" containsNumber="1" minValue="7.2" maxValue="9.5"/>
    </cacheField>
    <cacheField name="# HIV Cases" numFmtId="1">
      <sharedItems containsString="0" containsBlank="1" containsNumber="1" containsInteger="1" minValue="5" maxValue="43"/>
    </cacheField>
    <cacheField name="HIV Prevalence Rate" numFmtId="1">
      <sharedItems containsString="0" containsBlank="1" containsNumber="1" minValue="19.2" maxValue="49.8"/>
    </cacheField>
    <cacheField name="# Food Insecure" numFmtId="1">
      <sharedItems containsSemiMixedTypes="0" containsString="0" containsNumber="1" containsInteger="1" minValue="550" maxValue="15850"/>
    </cacheField>
    <cacheField name="% Food Insecure" numFmtId="1">
      <sharedItems containsSemiMixedTypes="0" containsString="0" containsNumber="1" minValue="7.9" maxValue="12.4"/>
    </cacheField>
    <cacheField name="# Limited Access" numFmtId="1">
      <sharedItems containsSemiMixedTypes="0" containsString="0" containsNumber="1" minValue="31.002810619000002" maxValue="3910.6405337000001"/>
    </cacheField>
    <cacheField name="% Limited Access to Healthy Foods" numFmtId="1">
      <sharedItems containsSemiMixedTypes="0" containsString="0" containsNumber="1" minValue="0.28937358419999998" maxValue="10.024634399"/>
    </cacheField>
    <cacheField name="# Drug Overdose Deaths" numFmtId="1">
      <sharedItems containsString="0" containsBlank="1" containsNumber="1" containsInteger="1" minValue="11" maxValue="76"/>
    </cacheField>
    <cacheField name="Drug Overdose Mortality Rate" numFmtId="1">
      <sharedItems containsString="0" containsBlank="1" containsNumber="1" minValue="9.9456605274999994" maxValue="50.396478545999997"/>
    </cacheField>
    <cacheField name="95% CI - Low8" numFmtId="1">
      <sharedItems containsString="0" containsBlank="1" containsNumber="1" minValue="4.9648379013000001" maxValue="38.811429406999999"/>
    </cacheField>
    <cacheField name="95% CI - High8" numFmtId="1">
      <sharedItems containsString="0" containsBlank="1" containsNumber="1" minValue="17.795533958" maxValue="64.355178008999999"/>
    </cacheField>
    <cacheField name="Drug Overdose Mortality Rate (AIAN)" numFmtId="1">
      <sharedItems containsNonDate="0" containsString="0" containsBlank="1"/>
    </cacheField>
    <cacheField name="Drug Overdose Mortality Rate (AIAN) 95% CI - Low" numFmtId="1">
      <sharedItems containsNonDate="0" containsString="0" containsBlank="1"/>
    </cacheField>
    <cacheField name="Drug Overdose Mortality Rate (AIAN) 95% CI - High" numFmtId="1">
      <sharedItems containsNonDate="0" containsString="0" containsBlank="1"/>
    </cacheField>
    <cacheField name="Drug Overdose Mortality Rate (Asian)" numFmtId="1">
      <sharedItems containsNonDate="0" containsString="0" containsBlank="1"/>
    </cacheField>
    <cacheField name="Drug Overdose Mortality Rate (Asian) 95% CI - Low" numFmtId="1">
      <sharedItems containsNonDate="0" containsString="0" containsBlank="1"/>
    </cacheField>
    <cacheField name="Drug Overdose Mortality Rate (Asian) 95% CI - High" numFmtId="1">
      <sharedItems containsNonDate="0" containsString="0" containsBlank="1"/>
    </cacheField>
    <cacheField name="Drug Overdose Mortality Rate (Black)" numFmtId="1">
      <sharedItems containsNonDate="0" containsString="0" containsBlank="1"/>
    </cacheField>
    <cacheField name="Drug Overdose Mortality Rate (Black) 95% CI - Low" numFmtId="1">
      <sharedItems containsNonDate="0" containsString="0" containsBlank="1"/>
    </cacheField>
    <cacheField name="Drug Overdose Mortality Rate (Black) 95% CI - High" numFmtId="1">
      <sharedItems containsNonDate="0" containsString="0" containsBlank="1"/>
    </cacheField>
    <cacheField name="Drug Overdose Mortality Rate (Hispanic)" numFmtId="1">
      <sharedItems containsNonDate="0" containsString="0" containsBlank="1"/>
    </cacheField>
    <cacheField name="Drug Overdose Mortality Rate (Hispanic) 95% CI - Low" numFmtId="1">
      <sharedItems containsNonDate="0" containsString="0" containsBlank="1"/>
    </cacheField>
    <cacheField name="Drug Overdose Mortality Rate (Hispanic) 95% CI - High" numFmtId="1">
      <sharedItems containsNonDate="0" containsString="0" containsBlank="1"/>
    </cacheField>
    <cacheField name="Drug Overdose Mortality Rate (white)" numFmtId="1">
      <sharedItems containsNonDate="0" containsString="0" containsBlank="1"/>
    </cacheField>
    <cacheField name="Drug Overdose Mortality Rate (white) 95% CI - Low" numFmtId="1">
      <sharedItems containsNonDate="0" containsString="0" containsBlank="1"/>
    </cacheField>
    <cacheField name="Drug Overdose Mortality Rate (white) 95% CI - High" numFmtId="1">
      <sharedItems containsNonDate="0" containsString="0" containsBlank="1"/>
    </cacheField>
    <cacheField name="# Motor Vehicle Deaths" numFmtId="1">
      <sharedItems containsString="0" containsBlank="1" containsNumber="1" containsInteger="1" minValue="12" maxValue="61"/>
    </cacheField>
    <cacheField name="Motor Vehicle Mortality Rate" numFmtId="1">
      <sharedItems containsString="0" containsBlank="1" containsNumber="1" minValue="5.3580776973999997" maxValue="27.758501040999999"/>
    </cacheField>
    <cacheField name="95% CI - Low9" numFmtId="1">
      <sharedItems containsString="0" containsBlank="1" containsNumber="1" minValue="4.0985048821000003" maxValue="14.343222551"/>
    </cacheField>
    <cacheField name="95% CI - High9" numFmtId="1">
      <sharedItems containsString="0" containsBlank="1" containsNumber="1" minValue="6.8826749556999998" maxValue="48.488515032000002"/>
    </cacheField>
    <cacheField name="MV Mortality Rate (AIAN)" numFmtId="1">
      <sharedItems containsNonDate="0" containsString="0" containsBlank="1"/>
    </cacheField>
    <cacheField name="MV Mortality Rate (AIAN) 95% CI - Low" numFmtId="1">
      <sharedItems containsNonDate="0" containsString="0" containsBlank="1"/>
    </cacheField>
    <cacheField name="MV Mortality Rate (AIAN) 95% CI - High" numFmtId="1">
      <sharedItems containsNonDate="0" containsString="0" containsBlank="1"/>
    </cacheField>
    <cacheField name="MV Mortality Rate (Asian)" numFmtId="1">
      <sharedItems containsNonDate="0" containsString="0" containsBlank="1"/>
    </cacheField>
    <cacheField name="MV Mortality Rate (Asian) 95% CI - Low" numFmtId="1">
      <sharedItems containsNonDate="0" containsString="0" containsBlank="1"/>
    </cacheField>
    <cacheField name="MV Mortality Rate (Asian) 95% CI - High" numFmtId="1">
      <sharedItems containsNonDate="0" containsString="0" containsBlank="1"/>
    </cacheField>
    <cacheField name="MV Mortality Rate (Black)" numFmtId="1">
      <sharedItems containsNonDate="0" containsString="0" containsBlank="1"/>
    </cacheField>
    <cacheField name="MV Mortality Rate (Black) 95% CI - Low" numFmtId="1">
      <sharedItems containsNonDate="0" containsString="0" containsBlank="1"/>
    </cacheField>
    <cacheField name="MV Mortality Rate (Black) 95% CI - High" numFmtId="1">
      <sharedItems containsNonDate="0" containsString="0" containsBlank="1"/>
    </cacheField>
    <cacheField name="MV Mortality Rate (Hispanic)" numFmtId="1">
      <sharedItems containsNonDate="0" containsString="0" containsBlank="1"/>
    </cacheField>
    <cacheField name="MV Mortality Rate (Hispanic) 95% CI - Low" numFmtId="1">
      <sharedItems containsNonDate="0" containsString="0" containsBlank="1"/>
    </cacheField>
    <cacheField name="MV Mortality Rate (Hispanic) 95% CI - High" numFmtId="1">
      <sharedItems containsNonDate="0" containsString="0" containsBlank="1"/>
    </cacheField>
    <cacheField name="MV Mortality Rate (white)" numFmtId="1">
      <sharedItems containsNonDate="0" containsString="0" containsBlank="1"/>
    </cacheField>
    <cacheField name="MV Mortality Rate (white) 95% CI - Low" numFmtId="1">
      <sharedItems containsNonDate="0" containsString="0" containsBlank="1"/>
    </cacheField>
    <cacheField name="MV Mortality Rate (white) 95% CI - High" numFmtId="1">
      <sharedItems containsNonDate="0" containsString="0" containsBlank="1"/>
    </cacheField>
    <cacheField name="# Insuficient Sleep" numFmtId="1">
      <sharedItems containsSemiMixedTypes="0" containsString="0" containsNumber="1" containsInteger="1" minValue="2168" maxValue="48442"/>
    </cacheField>
    <cacheField name="% Insufficient Sleep" numFmtId="1">
      <sharedItems containsSemiMixedTypes="0" containsString="0" containsNumber="1" minValue="28.847067804000002" maxValue="36.133307039000002"/>
    </cacheField>
    <cacheField name="95% CI - Low10" numFmtId="1">
      <sharedItems containsSemiMixedTypes="0" containsString="0" containsNumber="1" minValue="27.082489971000001" maxValue="34.474030517000003"/>
    </cacheField>
    <cacheField name="95% CI - High10" numFmtId="1">
      <sharedItems containsSemiMixedTypes="0" containsString="0" containsNumber="1" minValue="30.663312824999998" maxValue="37.701100300999997"/>
    </cacheField>
    <cacheField name="# Uninsured" numFmtId="1">
      <sharedItems containsSemiMixedTypes="0" containsString="0" containsNumber="1" containsInteger="1" minValue="268" maxValue="5943"/>
    </cacheField>
    <cacheField name="% Uninsured" numFmtId="1">
      <sharedItems containsSemiMixedTypes="0" containsString="0" containsNumber="1" minValue="5.8388351804000003" maxValue="8.3558662534000003"/>
    </cacheField>
    <cacheField name="95% CI - Low11" numFmtId="1">
      <sharedItems containsSemiMixedTypes="0" containsString="0" containsNumber="1" minValue="5.1197432653000003" maxValue="6.8489567198000003"/>
    </cacheField>
    <cacheField name="95% CI - High11" numFmtId="1">
      <sharedItems containsSemiMixedTypes="0" containsString="0" containsNumber="1" minValue="6.5537287973999998" maxValue="9.9048024235999996"/>
    </cacheField>
    <cacheField name="# Uninsured2" numFmtId="1">
      <sharedItems containsSemiMixedTypes="0" containsString="0" containsNumber="1" containsInteger="1" minValue="22" maxValue="518"/>
    </cacheField>
    <cacheField name="% Uninsured2" numFmtId="1">
      <sharedItems containsSemiMixedTypes="0" containsString="0" containsNumber="1" minValue="1.5449564358000001" maxValue="2.5924513915"/>
    </cacheField>
    <cacheField name="95% CI - Low12" numFmtId="1">
      <sharedItems containsSemiMixedTypes="0" containsString="0" containsNumber="1" minValue="1.0683606911000001" maxValue="1.6392599022000001"/>
    </cacheField>
    <cacheField name="95% CI - High12" numFmtId="1">
      <sharedItems containsSemiMixedTypes="0" containsString="0" containsNumber="1" minValue="2.0215521805000001" maxValue="3.5456428809"/>
    </cacheField>
    <cacheField name="Other Primary Care Provider Rate" numFmtId="1">
      <sharedItems containsSemiMixedTypes="0" containsString="0" containsNumber="1" minValue="27.89789" maxValue="155.80685"/>
    </cacheField>
    <cacheField name="Other Primary Care Provider Ratio" numFmtId="0">
      <sharedItems/>
    </cacheField>
    <cacheField name="Cohort Size" numFmtId="1">
      <sharedItems containsString="0" containsBlank="1" containsNumber="1" containsInteger="1" minValue="104" maxValue="1674"/>
    </cacheField>
    <cacheField name="High School Graduation Rate" numFmtId="1">
      <sharedItems containsString="0" containsBlank="1" containsNumber="1" minValue="80.616197182999997" maxValue="92.385496183000001"/>
    </cacheField>
    <cacheField name="% Disconnected Youth" numFmtId="1">
      <sharedItems containsString="0" containsBlank="1" containsNumber="1" minValue="2.8323358340999998" maxValue="10.303752233000001"/>
    </cacheField>
    <cacheField name="95% CI - Low13" numFmtId="1">
      <sharedItems containsString="0" containsBlank="1" containsNumber="1" minValue="1.3466629719000001" maxValue="4.2741150099"/>
    </cacheField>
    <cacheField name="95% CI - High13" numFmtId="1">
      <sharedItems containsString="0" containsBlank="1" containsNumber="1" minValue="4.3180086962999997" maxValue="16.949718835999999"/>
    </cacheField>
    <cacheField name="Average Grade Performance" numFmtId="164">
      <sharedItems containsNonDate="0" containsString="0" containsBlank="1"/>
    </cacheField>
    <cacheField name="Average Grade Performance (Asian)" numFmtId="164">
      <sharedItems containsNonDate="0" containsString="0" containsBlank="1"/>
    </cacheField>
    <cacheField name="Average Grade Performance (Black)" numFmtId="164">
      <sharedItems containsNonDate="0" containsString="0" containsBlank="1"/>
    </cacheField>
    <cacheField name="Average Grade Performance (Hispanic)" numFmtId="164">
      <sharedItems containsNonDate="0" containsString="0" containsBlank="1"/>
    </cacheField>
    <cacheField name="Average Grade Performance (white)" numFmtId="164">
      <sharedItems containsNonDate="0" containsString="0" containsBlank="1"/>
    </cacheField>
    <cacheField name="Average Grade Performance2" numFmtId="164">
      <sharedItems containsNonDate="0" containsString="0" containsBlank="1"/>
    </cacheField>
    <cacheField name="Average Grade Performance (Asian)2" numFmtId="164">
      <sharedItems containsNonDate="0" containsString="0" containsBlank="1"/>
    </cacheField>
    <cacheField name="Average Grade Performance (Black)2" numFmtId="164">
      <sharedItems containsNonDate="0" containsString="0" containsBlank="1"/>
    </cacheField>
    <cacheField name="Average Grade Performance (Hispanic)2" numFmtId="164">
      <sharedItems containsNonDate="0" containsString="0" containsBlank="1"/>
    </cacheField>
    <cacheField name="Average Grade Performance (white)2" numFmtId="164">
      <sharedItems containsNonDate="0" containsString="0" containsBlank="1"/>
    </cacheField>
    <cacheField name="Segregation index" numFmtId="2">
      <sharedItems containsString="0" containsBlank="1" containsNumber="1" minValue="3.7918837599999998E-2" maxValue="0.1053332884"/>
    </cacheField>
    <cacheField name="Spending per-pupil" numFmtId="1">
      <sharedItems containsNonDate="0" containsString="0" containsBlank="1"/>
    </cacheField>
    <cacheField name="School funding" numFmtId="1">
      <sharedItems containsNonDate="0" containsString="0" containsBlank="1"/>
    </cacheField>
    <cacheField name="Women's Median Earnings" numFmtId="1">
      <sharedItems containsSemiMixedTypes="0" containsString="0" containsNumber="1" containsInteger="1" minValue="37872" maxValue="49914"/>
    </cacheField>
    <cacheField name="Men's Median Earnings" numFmtId="1">
      <sharedItems containsSemiMixedTypes="0" containsString="0" containsNumber="1" containsInteger="1" minValue="44364" maxValue="60729"/>
    </cacheField>
    <cacheField name="Gender Pay Gap" numFmtId="2">
      <sharedItems containsSemiMixedTypes="0" containsString="0" containsNumber="1" minValue="0.79534725179999999" maxValue="0.96921542699999996"/>
    </cacheField>
    <cacheField name="95% CI - Low14" numFmtId="2">
      <sharedItems containsSemiMixedTypes="0" containsString="0" containsNumber="1" minValue="0.66095900190000001" maxValue="0.88600398719999995"/>
    </cacheField>
    <cacheField name="95% CI - High14" numFmtId="2">
      <sharedItems containsSemiMixedTypes="0" containsString="0" containsNumber="1" minValue="0.8647541634" maxValue="1.0730690085000001"/>
    </cacheField>
    <cacheField name="Median Household Income" numFmtId="1">
      <sharedItems containsSemiMixedTypes="0" containsString="0" containsNumber="1" containsInteger="1" minValue="50956" maxValue="80539"/>
    </cacheField>
    <cacheField name="95% CI - Low15" numFmtId="1">
      <sharedItems containsSemiMixedTypes="0" containsString="0" containsNumber="1" minValue="42751.404255000001" maxValue="74043"/>
    </cacheField>
    <cacheField name="95% CI - High15" numFmtId="1">
      <sharedItems containsSemiMixedTypes="0" containsString="0" containsNumber="1" minValue="59160.595744999999" maxValue="90371.872340000002"/>
    </cacheField>
    <cacheField name="Household Income (AIAN)" numFmtId="1">
      <sharedItems containsString="0" containsBlank="1" containsNumber="1" containsInteger="1" minValue="11250" maxValue="78214"/>
    </cacheField>
    <cacheField name="Household Income (AIAN) 95% CI - Low" numFmtId="1">
      <sharedItems containsString="0" containsBlank="1" containsNumber="1" minValue="626.59574468000005" maxValue="42425.404255000001"/>
    </cacheField>
    <cacheField name="Household Income (AIAN) 95% CI - High" numFmtId="1">
      <sharedItems containsString="0" containsBlank="1" containsNumber="1" minValue="17195.510638" maxValue="155801.40426000001"/>
    </cacheField>
    <cacheField name="Household Income (Asian)" numFmtId="1">
      <sharedItems containsString="0" containsBlank="1" containsNumber="1" containsInteger="1" minValue="21463" maxValue="87863"/>
    </cacheField>
    <cacheField name="Household Income (Asian) 95% CI - Low" numFmtId="1">
      <sharedItems containsString="0" containsBlank="1" containsNumber="1" minValue="16507.340425999999" maxValue="79006.659574000005"/>
    </cacheField>
    <cacheField name="Household Income (Asian) 95% CI - High" numFmtId="1">
      <sharedItems containsString="0" containsBlank="1" containsNumber="1" minValue="21936.021277" maxValue="99470.148935999998"/>
    </cacheField>
    <cacheField name="Household Income (Black)" numFmtId="1">
      <sharedItems containsString="0" containsBlank="1" containsNumber="1" containsInteger="1" minValue="28652" maxValue="107734"/>
    </cacheField>
    <cacheField name="Household Income (Black) 95% CI - Low" numFmtId="1">
      <sharedItems containsString="0" containsBlank="1" containsNumber="1" minValue="12141.425531999999" maxValue="75550.319149000003"/>
    </cacheField>
    <cacheField name="Household Income (Black) 95% CI - High" numFmtId="1">
      <sharedItems containsString="0" containsBlank="1" containsNumber="1" minValue="29440.765957" maxValue="180225.40426000001"/>
    </cacheField>
    <cacheField name="Household Income (Hispanic)" numFmtId="1">
      <sharedItems containsString="0" containsBlank="1" containsNumber="1" containsInteger="1" minValue="28125" maxValue="111250"/>
    </cacheField>
    <cacheField name="Household Income (Hispanic) 95% CI - Low" numFmtId="1">
      <sharedItems containsString="0" containsBlank="1" containsNumber="1" minValue="10851.978723" maxValue="55514.510638"/>
    </cacheField>
    <cacheField name="Household Income (Hispanic) 95% CI - High" numFmtId="1">
      <sharedItems containsString="0" containsBlank="1" containsNumber="1" minValue="44212.063829999999" maxValue="166985.48936000001"/>
    </cacheField>
    <cacheField name="Household Income (white)" numFmtId="1">
      <sharedItems containsString="0" containsBlank="1" containsNumber="1" containsInteger="1" minValue="52965" maxValue="83906"/>
    </cacheField>
    <cacheField name="Household Income (white) 95% CI - Low" numFmtId="1">
      <sharedItems containsString="0" containsBlank="1" containsNumber="1" minValue="47198.191488999997" maxValue="76458.468085"/>
    </cacheField>
    <cacheField name="Household Income (white) 95% CI - High" numFmtId="1">
      <sharedItems containsString="0" containsBlank="1" containsNumber="1" minValue="57638.808511000003" maxValue="92958.936170000001"/>
    </cacheField>
    <cacheField name="% Enrolled in Free or Reduced Lunch" numFmtId="1">
      <sharedItems containsSemiMixedTypes="0" containsString="0" containsNumber="1" minValue="25.499121186" maxValue="54.543153631999999"/>
    </cacheField>
    <cacheField name="Segregation index2" numFmtId="1">
      <sharedItems containsString="0" containsBlank="1" containsNumber="1" minValue="51.694970240000004" maxValue="78.298191610999993"/>
    </cacheField>
    <cacheField name="Segregation Index3" numFmtId="1">
      <sharedItems containsSemiMixedTypes="0" containsString="0" containsNumber="1" minValue="4.3327254841" maxValue="37.531540329000002"/>
    </cacheField>
    <cacheField name="% household income required for childcare expenses" numFmtId="1">
      <sharedItems containsSemiMixedTypes="0" containsString="0" containsNumber="1" minValue="18.518888917000002" maxValue="36.657234355999996"/>
    </cacheField>
    <cacheField name="# childcare centers" numFmtId="1">
      <sharedItems containsSemiMixedTypes="0" containsString="0" containsNumber="1" containsInteger="1" minValue="5" maxValue="174"/>
    </cacheField>
    <cacheField name="County Value" numFmtId="1">
      <sharedItems containsSemiMixedTypes="0" containsString="0" containsNumber="1" minValue="11.859086153" maxValue="34.282018110999999"/>
    </cacheField>
    <cacheField name="Homicide Rate" numFmtId="1">
      <sharedItems containsString="0" containsBlank="1" containsNumber="1" minValue="1.9324214646" maxValue="3.6653593552000001"/>
    </cacheField>
    <cacheField name="95% CI - Low16" numFmtId="1">
      <sharedItems containsString="0" containsBlank="1" containsNumber="1" minValue="1.2110382437" maxValue="1.8297341839000001"/>
    </cacheField>
    <cacheField name="95% CI - High16" numFmtId="1">
      <sharedItems containsString="0" containsBlank="1" containsNumber="1" minValue="2.9257093205000002" maxValue="6.5583403630000001"/>
    </cacheField>
    <cacheField name="Homicide Rate (AIAN)" numFmtId="1">
      <sharedItems containsNonDate="0" containsString="0" containsBlank="1"/>
    </cacheField>
    <cacheField name="Homicide Rate (AIAN) 95% CI - Low" numFmtId="1">
      <sharedItems containsNonDate="0" containsString="0" containsBlank="1"/>
    </cacheField>
    <cacheField name="Homicide Rate (AIAN) 95% CI - High" numFmtId="1">
      <sharedItems containsNonDate="0" containsString="0" containsBlank="1"/>
    </cacheField>
    <cacheField name="Homicide Rate (Asian)" numFmtId="1">
      <sharedItems containsNonDate="0" containsString="0" containsBlank="1"/>
    </cacheField>
    <cacheField name="Homicide Rate (Asian) 95% CI - Low" numFmtId="1">
      <sharedItems containsNonDate="0" containsString="0" containsBlank="1"/>
    </cacheField>
    <cacheField name="Homicide Rate (Asian) 95% CI - High" numFmtId="1">
      <sharedItems containsNonDate="0" containsString="0" containsBlank="1"/>
    </cacheField>
    <cacheField name="Homicide Rate (Black)" numFmtId="1">
      <sharedItems containsNonDate="0" containsString="0" containsBlank="1"/>
    </cacheField>
    <cacheField name="Homicide Rate (Black) 95% CI - Low" numFmtId="1">
      <sharedItems containsNonDate="0" containsString="0" containsBlank="1"/>
    </cacheField>
    <cacheField name="Homicide Rate (Black) 95% CI - High" numFmtId="1">
      <sharedItems containsNonDate="0" containsString="0" containsBlank="1"/>
    </cacheField>
    <cacheField name="Homicide Rate (Hispanic)" numFmtId="1">
      <sharedItems containsNonDate="0" containsString="0" containsBlank="1"/>
    </cacheField>
    <cacheField name="Homicide Rate (Hispanic) 95% CI - Low" numFmtId="1">
      <sharedItems containsNonDate="0" containsString="0" containsBlank="1"/>
    </cacheField>
    <cacheField name="Homicide Rate (Hispanic) 95% CI - High" numFmtId="1">
      <sharedItems containsNonDate="0" containsString="0" containsBlank="1"/>
    </cacheField>
    <cacheField name="Homicide Rate (white)" numFmtId="1">
      <sharedItems containsNonDate="0" containsString="0" containsBlank="1"/>
    </cacheField>
    <cacheField name="Homicide Rate (white) 95% CI - Low" numFmtId="1">
      <sharedItems containsNonDate="0" containsString="0" containsBlank="1"/>
    </cacheField>
    <cacheField name="Homicide Rate (white) 95% CI - High" numFmtId="1">
      <sharedItems containsNonDate="0" containsString="0" containsBlank="1"/>
    </cacheField>
    <cacheField name="# Deaths4" numFmtId="1">
      <sharedItems containsString="0" containsBlank="1" containsNumber="1" containsInteger="1" minValue="22" maxValue="104"/>
    </cacheField>
    <cacheField name="Suicide Rate (Age-Adjusted)" numFmtId="1">
      <sharedItems containsString="0" containsBlank="1" containsNumber="1" minValue="9.1216872979999994" maxValue="31.789892938000001"/>
    </cacheField>
    <cacheField name="95% CI - Low17" numFmtId="1">
      <sharedItems containsString="0" containsBlank="1" containsNumber="1" minValue="5.4918516224999996" maxValue="22.911358630999999"/>
    </cacheField>
    <cacheField name="95% CI - High17" numFmtId="1">
      <sharedItems containsString="0" containsBlank="1" containsNumber="1" minValue="14.244644639000001" maxValue="42.970700121"/>
    </cacheField>
    <cacheField name="Crude Rate" numFmtId="1">
      <sharedItems containsString="0" containsBlank="1" containsNumber="1" minValue="11.934727887999999" maxValue="30.565393329999999"/>
    </cacheField>
    <cacheField name="Suicide Rate (AIAN)" numFmtId="1">
      <sharedItems containsNonDate="0" containsString="0" containsBlank="1"/>
    </cacheField>
    <cacheField name="Suicide Rate (AIAN) 95% CI - Low" numFmtId="1">
      <sharedItems containsNonDate="0" containsString="0" containsBlank="1"/>
    </cacheField>
    <cacheField name="Suicide Rate (AIAN) 95% CI - High" numFmtId="1">
      <sharedItems containsNonDate="0" containsString="0" containsBlank="1"/>
    </cacheField>
    <cacheField name="Suicide Rate (Asian)" numFmtId="1">
      <sharedItems containsNonDate="0" containsString="0" containsBlank="1"/>
    </cacheField>
    <cacheField name="Suicide Rate (Asian) 95% CI - Low" numFmtId="1">
      <sharedItems containsNonDate="0" containsString="0" containsBlank="1"/>
    </cacheField>
    <cacheField name="Suicide Rate (Asian) 95% CI - High" numFmtId="1">
      <sharedItems containsNonDate="0" containsString="0" containsBlank="1"/>
    </cacheField>
    <cacheField name="Suicide Rate (Black)" numFmtId="1">
      <sharedItems containsNonDate="0" containsString="0" containsBlank="1"/>
    </cacheField>
    <cacheField name="Suicide Rate (Black) 95% CI - Low" numFmtId="1">
      <sharedItems containsNonDate="0" containsString="0" containsBlank="1"/>
    </cacheField>
    <cacheField name="Suicide Rate (Black) 95% CI - High" numFmtId="1">
      <sharedItems containsNonDate="0" containsString="0" containsBlank="1"/>
    </cacheField>
    <cacheField name="Suicide Rate (Hispanic)" numFmtId="1">
      <sharedItems containsNonDate="0" containsString="0" containsBlank="1"/>
    </cacheField>
    <cacheField name="Suicide Rate (Hispanic) 95% CI - Low" numFmtId="1">
      <sharedItems containsNonDate="0" containsString="0" containsBlank="1"/>
    </cacheField>
    <cacheField name="Suicide Rate (Hispanic) 95% CI - High" numFmtId="1">
      <sharedItems containsNonDate="0" containsString="0" containsBlank="1"/>
    </cacheField>
    <cacheField name="Suicide Rate (white)" numFmtId="1">
      <sharedItems containsNonDate="0" containsString="0" containsBlank="1"/>
    </cacheField>
    <cacheField name="Suicide Rate (white) 95% CI - Low" numFmtId="1">
      <sharedItems containsNonDate="0" containsString="0" containsBlank="1"/>
    </cacheField>
    <cacheField name="Suicide Rate (white) 95% CI - High" numFmtId="1">
      <sharedItems containsNonDate="0" containsString="0" containsBlank="1"/>
    </cacheField>
    <cacheField name="# Firearm Fatalities" numFmtId="1">
      <sharedItems containsString="0" containsBlank="1" containsNumber="1" containsInteger="1" minValue="14" maxValue="55"/>
    </cacheField>
    <cacheField name="Firearm Fatalities Rate" numFmtId="1">
      <sharedItems containsString="0" containsBlank="1" containsNumber="1" minValue="6.7356148698" maxValue="19.360950345999999"/>
    </cacheField>
    <cacheField name="95% CI - Low18" numFmtId="1">
      <sharedItems containsString="0" containsBlank="1" containsNumber="1" minValue="4.1521625055999998" maxValue="12.865210899999999"/>
    </cacheField>
    <cacheField name="95% CI - High18" numFmtId="1">
      <sharedItems containsString="0" containsBlank="1" containsNumber="1" minValue="8.7673285910000001" maxValue="27.981963853"/>
    </cacheField>
    <cacheField name="Firearm Fatalities Rate (AIAN)" numFmtId="1">
      <sharedItems containsNonDate="0" containsString="0" containsBlank="1"/>
    </cacheField>
    <cacheField name="Firearm Fatalities Rate (AIAN) 95% CI - Low" numFmtId="1">
      <sharedItems containsNonDate="0" containsString="0" containsBlank="1"/>
    </cacheField>
    <cacheField name="Firearm Fatalities Rate (AIAN) 95% CI - High" numFmtId="1">
      <sharedItems containsNonDate="0" containsString="0" containsBlank="1"/>
    </cacheField>
    <cacheField name="Firearm Fatalities Rate (Asian)" numFmtId="1">
      <sharedItems containsNonDate="0" containsString="0" containsBlank="1"/>
    </cacheField>
    <cacheField name="Firearm Fatalities Rate (Asian) 95% CI - Low" numFmtId="1">
      <sharedItems containsNonDate="0" containsString="0" containsBlank="1"/>
    </cacheField>
    <cacheField name="Firearm Fatalities Rate (Asian) 95% CI - High" numFmtId="1">
      <sharedItems containsNonDate="0" containsString="0" containsBlank="1"/>
    </cacheField>
    <cacheField name="Firearm Fatalities Rate (Black)" numFmtId="1">
      <sharedItems containsNonDate="0" containsString="0" containsBlank="1"/>
    </cacheField>
    <cacheField name="Firearm Fatalities Rate (Black) 95% CI - Low" numFmtId="1">
      <sharedItems containsNonDate="0" containsString="0" containsBlank="1"/>
    </cacheField>
    <cacheField name="Firearm Fatalities Rate (Black) 95% CI - High" numFmtId="1">
      <sharedItems containsNonDate="0" containsString="0" containsBlank="1"/>
    </cacheField>
    <cacheField name="Firearm Fatalities Rate (Hispanic)" numFmtId="1">
      <sharedItems containsNonDate="0" containsString="0" containsBlank="1"/>
    </cacheField>
    <cacheField name="Firearm Fatalities Rate (Hispanic) 95% CI - Low" numFmtId="1">
      <sharedItems containsNonDate="0" containsString="0" containsBlank="1"/>
    </cacheField>
    <cacheField name="Firearm Fatalities Rate (Hispanic) 95% CI - High" numFmtId="1">
      <sharedItems containsNonDate="0" containsString="0" containsBlank="1"/>
    </cacheField>
    <cacheField name="Firearm Fatalities Rate (white)" numFmtId="1">
      <sharedItems containsNonDate="0" containsString="0" containsBlank="1"/>
    </cacheField>
    <cacheField name="Firearm Fatalities Rate (white) 95% CI - Low" numFmtId="1">
      <sharedItems containsNonDate="0" containsString="0" containsBlank="1"/>
    </cacheField>
    <cacheField name="Firearm Fatalities Rate (white) 95% CI - High" numFmtId="1">
      <sharedItems containsNonDate="0" containsString="0" containsBlank="1"/>
    </cacheField>
    <cacheField name="Non-Petitioned Cases" numFmtId="0">
      <sharedItems containsNonDate="0" containsString="0" containsBlank="1"/>
    </cacheField>
    <cacheField name="Petitioned Cases" numFmtId="0">
      <sharedItems containsMixedTypes="1" containsNumber="1" containsInteger="1" minValue="8" maxValue="198"/>
    </cacheField>
    <cacheField name="Denominator" numFmtId="1">
      <sharedItems containsSemiMixedTypes="0" containsString="0" containsNumber="1" containsInteger="1" minValue="500" maxValue="13400"/>
    </cacheField>
    <cacheField name="Juvenile Arrest Rate" numFmtId="1">
      <sharedItems containsString="0" containsBlank="1" containsNumber="1" minValue="7.1428571428999996" maxValue="28.125"/>
    </cacheField>
    <cacheField name="Traffic Volume" numFmtId="1">
      <sharedItems containsSemiMixedTypes="0" containsString="0" containsNumber="1" minValue="0" maxValue="401.77538976"/>
    </cacheField>
    <cacheField name="# Homeowners" numFmtId="1">
      <sharedItems containsSemiMixedTypes="0" containsString="0" containsNumber="1" containsInteger="1" minValue="2393" maxValue="41815"/>
    </cacheField>
    <cacheField name="% Homeowners" numFmtId="1">
      <sharedItems containsSemiMixedTypes="0" containsString="0" containsNumber="1" minValue="62.900508438999999" maxValue="85.920698924999996"/>
    </cacheField>
    <cacheField name="95% CI - Low19" numFmtId="1">
      <sharedItems containsSemiMixedTypes="0" containsString="0" containsNumber="1" minValue="61.401833809000003" maxValue="83.377628035000001"/>
    </cacheField>
    <cacheField name="95% CI - High19" numFmtId="1">
      <sharedItems containsSemiMixedTypes="0" containsString="0" containsNumber="1" minValue="64.399183067999999" maxValue="88.463769815000006"/>
    </cacheField>
    <cacheField name="# Households with Severe Cost Burden" numFmtId="1">
      <sharedItems containsSemiMixedTypes="0" containsString="0" containsNumber="1" containsInteger="1" minValue="406" maxValue="10278"/>
    </cacheField>
    <cacheField name="% Severe Housing Cost Burden" numFmtId="1">
      <sharedItems containsSemiMixedTypes="0" containsString="0" containsNumber="1" minValue="11.811500564999999" maxValue="16.064113979999998"/>
    </cacheField>
    <cacheField name="95% CI - Low20" numFmtId="1">
      <sharedItems containsSemiMixedTypes="0" containsString="0" containsNumber="1" minValue="10.053200172" maxValue="14.200488739000001"/>
    </cacheField>
    <cacheField name="95% CI - High20" numFmtId="1">
      <sharedItems containsSemiMixedTypes="0" containsString="0" containsNumber="1" minValue="13.569800959" maxValue="19.788259985"/>
    </cacheField>
    <cacheField name="% Broadband Access" numFmtId="1">
      <sharedItems containsSemiMixedTypes="0" containsString="0" containsNumber="1" minValue="69.773510071999993" maxValue="87.197580645000002"/>
    </cacheField>
    <cacheField name="Numerator" numFmtId="1">
      <sharedItems containsSemiMixedTypes="0" containsString="0" containsNumber="1" containsInteger="1" minValue="2204" maxValue="57716"/>
    </cacheField>
    <cacheField name="95% CI - Low21" numFmtId="1">
      <sharedItems containsSemiMixedTypes="0" containsString="0" containsNumber="1" minValue="66.772691700999999" maxValue="85.313800143999998"/>
    </cacheField>
    <cacheField name="95% CI - High21" numFmtId="1">
      <sharedItems containsSemiMixedTypes="0" containsString="0" containsNumber="1" minValue="72.774328443000002" maxValue="89.762786453000004"/>
    </cacheField>
    <cacheField name="Population" numFmtId="1">
      <sharedItems containsSemiMixedTypes="0" containsString="0" containsNumber="1" containsInteger="1" minValue="6123" maxValue="164306"/>
    </cacheField>
    <cacheField name="# Less than 18 Years of Age" numFmtId="1">
      <sharedItems containsSemiMixedTypes="0" containsString="0" containsNumber="1" containsInteger="1" minValue="1019" maxValue="28617"/>
    </cacheField>
    <cacheField name="% Less Than 18 Years of Age" numFmtId="164">
      <sharedItems containsSemiMixedTypes="0" containsString="0" containsNumber="1" minValue="16.219369895" maxValue="21.910033209000002"/>
    </cacheField>
    <cacheField name="# 65 and Over" numFmtId="1">
      <sharedItems containsSemiMixedTypes="0" containsString="0" containsNumber="1" containsInteger="1" minValue="1594" maxValue="26445"/>
    </cacheField>
    <cacheField name="% 65 and Over" numFmtId="164">
      <sharedItems containsSemiMixedTypes="0" containsString="0" containsNumber="1" minValue="16.094969143" maxValue="27.780499755000001"/>
    </cacheField>
    <cacheField name="# Black" numFmtId="1">
      <sharedItems containsSemiMixedTypes="0" containsString="0" containsNumber="1" containsInteger="1" minValue="31" maxValue="3940"/>
    </cacheField>
    <cacheField name="% Black" numFmtId="164">
      <sharedItems containsSemiMixedTypes="0" containsString="0" containsNumber="1" minValue="0.50628776740000003" maxValue="2.397964773"/>
    </cacheField>
    <cacheField name="# American Indian &amp; Alaska Native" numFmtId="1">
      <sharedItems containsSemiMixedTypes="0" containsString="0" containsNumber="1" containsInteger="1" minValue="38" maxValue="503"/>
    </cacheField>
    <cacheField name="% American Indian &amp; Alaska Native" numFmtId="164">
      <sharedItems containsSemiMixedTypes="0" containsString="0" containsNumber="1" minValue="0.25075164630000002" maxValue="1.339098898"/>
    </cacheField>
    <cacheField name="# Asian" numFmtId="1">
      <sharedItems containsSemiMixedTypes="0" containsString="0" containsNumber="1" containsInteger="1" minValue="43" maxValue="7957"/>
    </cacheField>
    <cacheField name="% Asian" numFmtId="164">
      <sharedItems containsSemiMixedTypes="0" containsString="0" containsNumber="1" minValue="0.51678625869999995" maxValue="4.8427933246999997"/>
    </cacheField>
    <cacheField name="# Native Hawaiian/Other Pacific Islander" numFmtId="1">
      <sharedItems containsSemiMixedTypes="0" containsString="0" containsNumber="1" containsInteger="1" minValue="0" maxValue="58"/>
    </cacheField>
    <cacheField name="% Native Hawaiian/Other Pacific Islander" numFmtId="164">
      <sharedItems containsSemiMixedTypes="0" containsString="0" containsNumber="1" minValue="0" maxValue="7.1031135300000006E-2"/>
    </cacheField>
    <cacheField name="# Hispanic" numFmtId="1">
      <sharedItems containsSemiMixedTypes="0" containsString="0" containsNumber="1" containsInteger="1" minValue="88" maxValue="4204"/>
    </cacheField>
    <cacheField name="% Hispanic" numFmtId="164">
      <sharedItems containsSemiMixedTypes="0" containsString="0" containsNumber="1" minValue="1.4113812116" maxValue="2.5586405852"/>
    </cacheField>
    <cacheField name="# Non-Hispanic white" numFmtId="1">
      <sharedItems containsSemiMixedTypes="0" containsString="0" containsNumber="1" containsInteger="1" minValue="5827" maxValue="144343"/>
    </cacheField>
    <cacheField name="% Non-Hispanic white" numFmtId="164">
      <sharedItems containsSemiMixedTypes="0" containsString="0" containsNumber="1" minValue="87.850108942999995" maxValue="95.651420051000002"/>
    </cacheField>
    <cacheField name="# Not Proficient in English" numFmtId="1">
      <sharedItems containsSemiMixedTypes="0" containsString="0" containsNumber="1" containsInteger="1" minValue="7" maxValue="2555"/>
    </cacheField>
    <cacheField name="% Not Proficient in English" numFmtId="1">
      <sharedItems containsSemiMixedTypes="0" containsString="0" containsNumber="1" minValue="5.5944879599999997E-2" maxValue="1.6392390851"/>
    </cacheField>
    <cacheField name="95% CI - Low22" numFmtId="1">
      <sharedItems containsSemiMixedTypes="0" containsString="0" containsNumber="1" minValue="0" maxValue="1.2428230297"/>
    </cacheField>
    <cacheField name="95% CI - High22" numFmtId="1">
      <sharedItems containsSemiMixedTypes="0" containsString="0" containsNumber="1" minValue="0.32986207229999998" maxValue="2.0356551404999998"/>
    </cacheField>
    <cacheField name="% female" numFmtId="164">
      <sharedItems containsSemiMixedTypes="0" containsString="0" containsNumber="1" minValue="49.225833450000003" maxValue="51.287565792999999"/>
    </cacheField>
    <cacheField name="# rural residents" numFmtId="1">
      <sharedItems containsSemiMixedTypes="0" containsString="0" containsNumber="1" containsInteger="1" minValue="6306" maxValue="42836"/>
    </cacheField>
    <cacheField name="% rural" numFmtId="164">
      <sharedItems containsSemiMixedTypes="0" containsString="0" containsNumber="1" minValue="25.986138171" maxValue="1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n v="50"/>
    <s v="Vermont"/>
    <s v="VT"/>
    <n v="50001"/>
    <x v="0"/>
    <n v="50001"/>
    <s v="Addison County, Vermont"/>
    <n v="766.10726409103995"/>
    <n v="36947"/>
    <n v="0"/>
    <n v="17577"/>
    <n v="150"/>
    <n v="14700"/>
    <n v="265"/>
    <n v="4530"/>
    <n v="446"/>
    <n v="809"/>
    <n v="169"/>
    <n v="3824"/>
    <n v="325"/>
    <n v="1484"/>
    <n v="185"/>
    <n v="1985"/>
    <n v="273"/>
    <n v="7409"/>
    <n v="43"/>
    <n v="6161"/>
    <n v="63"/>
    <n v="5681"/>
    <n v="473"/>
    <n v="482"/>
    <n v="97"/>
    <n v="112"/>
    <n v="90"/>
    <n v="2848"/>
    <n v="198"/>
    <n v="419"/>
    <n v="121"/>
    <n v="1355"/>
    <n v="168"/>
    <n v="188"/>
    <n v="93"/>
    <n v="730"/>
    <n v="163"/>
    <n v="3138"/>
    <n v="309"/>
    <n v="13.4"/>
    <n v="1.3"/>
    <n v="3.9"/>
    <n v="0.8"/>
    <n v="26"/>
    <n v="2.2000000000000002"/>
    <n v="5.8"/>
    <n v="0.7"/>
    <n v="5.4"/>
    <n v="0.7"/>
    <n v="20.100000000000001"/>
    <n v="0.1"/>
    <n v="16.7"/>
    <n v="0.2"/>
    <n v="15.5"/>
    <n v="1.3"/>
    <n v="3.3"/>
    <n v="0.7"/>
    <n v="0.3"/>
    <n v="0.3"/>
    <n v="7.7"/>
    <n v="0.5"/>
    <n v="2.4"/>
    <n v="0.7"/>
    <n v="7.7"/>
    <n v="0.9"/>
    <n v="1.3"/>
    <n v="0.6"/>
    <n v="5"/>
    <n v="1.1000000000000001"/>
    <n v="8.5"/>
    <n v="0.8"/>
    <n v="7.6899999999999996E-2"/>
    <n v="0.53849999999999998"/>
    <n v="0.46150000000000002"/>
    <n v="0.15379999999999999"/>
    <n v="0.92310000000000003"/>
    <n v="2.1537999999999999"/>
    <n v="0.30769999999999997"/>
    <n v="0.30769999999999997"/>
    <n v="0"/>
    <n v="0.61539999999999995"/>
    <n v="7.6899999999999996E-2"/>
    <n v="0.53849999999999998"/>
    <n v="1.5385"/>
    <n v="7.6899999999999996E-2"/>
    <n v="0.84619999999999995"/>
    <n v="0.84619999999999995"/>
    <n v="0.84619999999999995"/>
    <n v="0.3846"/>
    <n v="0.53849999999999998"/>
    <n v="0.3846"/>
    <n v="0.23080000000000001"/>
    <n v="1"/>
    <n v="2.5385"/>
    <n v="0.46150000000000002"/>
    <n v="7.077"/>
    <n v="0.23080000000000001"/>
    <n v="0"/>
    <n v="0"/>
    <n v="0"/>
    <n v="0"/>
    <n v="1"/>
    <n v="1"/>
    <n v="0"/>
    <n v="0"/>
    <n v="0"/>
    <n v="0"/>
    <n v="0"/>
    <n v="0"/>
    <n v="0"/>
    <n v="0"/>
    <n v="0"/>
    <n v="0"/>
    <n v="0"/>
    <n v="0"/>
    <n v="1"/>
    <n v="1"/>
    <n v="2"/>
    <n v="32286"/>
    <n v="3539"/>
    <n v="606"/>
    <n v="371"/>
    <n v="91"/>
    <n v="885"/>
    <n v="0"/>
    <n v="719"/>
    <n v="65"/>
    <n v="105"/>
    <n v="32"/>
    <n v="18"/>
    <n v="22"/>
    <n v="716"/>
    <n v="119"/>
    <n v="34"/>
    <n v="34"/>
    <n v="10.5"/>
    <n v="0.1"/>
    <n v="1"/>
    <n v="0.2"/>
    <n v="2.4"/>
    <n v="0"/>
    <n v="1.9"/>
    <n v="0.2"/>
    <n v="0.3"/>
    <n v="0.1"/>
    <n v="0"/>
    <n v="0.1"/>
    <n v="1.9"/>
    <n v="0.3"/>
    <n v="0.1"/>
    <n v="0.1"/>
    <m/>
    <m/>
    <n v="81.344859424000006"/>
    <n v="80.506519859999997"/>
    <n v="82.183198986999997"/>
    <m/>
    <m/>
    <m/>
    <m/>
    <m/>
    <m/>
    <m/>
    <m/>
    <m/>
    <m/>
    <m/>
    <m/>
    <m/>
    <m/>
    <m/>
    <n v="369"/>
    <n v="246.93384266999999"/>
    <n v="219.26921259"/>
    <n v="274.59847274999998"/>
    <m/>
    <m/>
    <m/>
    <m/>
    <m/>
    <m/>
    <m/>
    <m/>
    <m/>
    <m/>
    <m/>
    <m/>
    <m/>
    <m/>
    <m/>
    <m/>
    <m/>
    <m/>
    <m/>
    <m/>
    <m/>
    <m/>
    <m/>
    <m/>
    <m/>
    <m/>
    <m/>
    <m/>
    <m/>
    <m/>
    <m/>
    <m/>
    <m/>
    <m/>
    <m/>
    <m/>
    <m/>
    <m/>
    <m/>
    <m/>
    <m/>
    <m/>
    <m/>
    <m/>
    <m/>
    <m/>
    <m/>
    <m/>
    <m/>
    <m/>
    <m/>
    <m/>
    <m/>
    <n v="3759"/>
    <n v="10.199999999999999"/>
    <n v="9.1"/>
    <n v="11.5"/>
    <n v="4827"/>
    <n v="13.1"/>
    <n v="11.7"/>
    <n v="14.6"/>
    <n v="2469"/>
    <n v="6.7"/>
    <n v="6"/>
    <n v="7.3"/>
    <n v="9"/>
    <n v="27.7"/>
    <n v="3230"/>
    <n v="8.8000000000000007"/>
    <n v="557.72568027"/>
    <n v="1.51469455"/>
    <n v="11"/>
    <n v="9.9456605274999994"/>
    <n v="4.9648379013000001"/>
    <n v="17.795533958"/>
    <m/>
    <m/>
    <m/>
    <m/>
    <m/>
    <m/>
    <m/>
    <m/>
    <m/>
    <m/>
    <m/>
    <m/>
    <m/>
    <m/>
    <m/>
    <n v="24"/>
    <n v="9.2886446319000004"/>
    <n v="5.9514098826000001"/>
    <n v="13.82076693"/>
    <m/>
    <m/>
    <m/>
    <m/>
    <m/>
    <m/>
    <m/>
    <m/>
    <m/>
    <m/>
    <m/>
    <m/>
    <m/>
    <m/>
    <m/>
    <n v="11050"/>
    <n v="29.986619647000001"/>
    <n v="28.206238867"/>
    <n v="31.592797158"/>
    <n v="1545"/>
    <n v="7.4742392724000002"/>
    <n v="6.2827499106999998"/>
    <n v="8.6657286341000006"/>
    <n v="121"/>
    <n v="1.9127410685999999"/>
    <n v="1.3169963877999999"/>
    <n v="2.5084857495000001"/>
    <n v="84.122550000000004"/>
    <s v="1189:1"/>
    <n v="332"/>
    <n v="86.762048192999998"/>
    <m/>
    <m/>
    <m/>
    <m/>
    <m/>
    <m/>
    <m/>
    <m/>
    <m/>
    <m/>
    <m/>
    <m/>
    <m/>
    <n v="7.8730963700000003E-2"/>
    <m/>
    <m/>
    <n v="46271"/>
    <n v="53422"/>
    <n v="0.86614129009999996"/>
    <n v="0.81668356929999997"/>
    <n v="0.91559901089999995"/>
    <n v="73049"/>
    <n v="64632.319149000003"/>
    <n v="81465.680850999997"/>
    <n v="78214"/>
    <n v="626.59574468000005"/>
    <n v="155801.40426000001"/>
    <m/>
    <m/>
    <m/>
    <n v="107734"/>
    <n v="35242.595744999999"/>
    <n v="180225.40426000001"/>
    <m/>
    <m/>
    <m/>
    <n v="70545"/>
    <n v="66682.191489000004"/>
    <n v="74407.808510999996"/>
    <n v="28.348214286000001"/>
    <n v="69.582850140000005"/>
    <n v="29.982248628000001"/>
    <n v="25.737518651999999"/>
    <n v="53"/>
    <n v="34.282018110999999"/>
    <m/>
    <m/>
    <m/>
    <m/>
    <m/>
    <m/>
    <m/>
    <m/>
    <m/>
    <m/>
    <m/>
    <m/>
    <m/>
    <m/>
    <m/>
    <m/>
    <m/>
    <m/>
    <n v="22"/>
    <n v="9.1216872979999994"/>
    <n v="5.4918516224999996"/>
    <n v="14.244644639000001"/>
    <n v="11.934727887999999"/>
    <m/>
    <m/>
    <m/>
    <m/>
    <m/>
    <m/>
    <m/>
    <m/>
    <m/>
    <m/>
    <m/>
    <m/>
    <m/>
    <m/>
    <m/>
    <n v="14"/>
    <n v="7.5948268379000003"/>
    <n v="4.1521625055999998"/>
    <n v="12.742828921999999"/>
    <m/>
    <m/>
    <m/>
    <m/>
    <m/>
    <m/>
    <m/>
    <m/>
    <m/>
    <m/>
    <m/>
    <m/>
    <m/>
    <m/>
    <m/>
    <m/>
    <n v="28"/>
    <n v="2900"/>
    <n v="9.6551724138000008"/>
    <n v="50.882049709"/>
    <n v="11067"/>
    <n v="75.285714286000001"/>
    <n v="73.670305747"/>
    <n v="76.901122823999998"/>
    <n v="1705"/>
    <n v="11.917243307"/>
    <n v="10.230021367999999"/>
    <n v="13.604465247"/>
    <n v="85.170068026999999"/>
    <n v="12520"/>
    <n v="83.229848306999997"/>
    <n v="87.110287747000001"/>
    <n v="36851"/>
    <n v="5977"/>
    <n v="16.219369895"/>
    <n v="8016"/>
    <n v="21.752462619999999"/>
    <n v="478"/>
    <n v="1.2971154107"/>
    <n v="113"/>
    <n v="0.306640254"/>
    <n v="658"/>
    <n v="1.7855689126000001"/>
    <n v="14"/>
    <n v="3.7990827900000003E-2"/>
    <n v="911"/>
    <n v="2.4721174458999999"/>
    <n v="34030"/>
    <n v="92.344848171999999"/>
    <n v="112"/>
    <n v="0.31637524360000002"/>
    <n v="1.1079258200000001E-2"/>
    <n v="0.62167122909999994"/>
    <n v="50.123470191000003"/>
    <n v="28879"/>
    <n v="78.430786779000002"/>
  </r>
  <r>
    <n v="50"/>
    <s v="Vermont"/>
    <s v="VT"/>
    <n v="50003"/>
    <x v="1"/>
    <n v="50003"/>
    <s v="Bennington County, Vermont"/>
    <n v="674.80630948167197"/>
    <n v="35649"/>
    <n v="0"/>
    <n v="21189"/>
    <n v="116"/>
    <n v="14585"/>
    <n v="349"/>
    <n v="6731"/>
    <n v="764"/>
    <n v="734"/>
    <n v="183"/>
    <n v="4310"/>
    <n v="471"/>
    <n v="1880"/>
    <n v="290"/>
    <n v="1506"/>
    <n v="271"/>
    <n v="8069"/>
    <n v="52"/>
    <n v="6723"/>
    <n v="135"/>
    <n v="6105"/>
    <n v="542"/>
    <n v="824"/>
    <n v="198"/>
    <n v="19"/>
    <n v="78"/>
    <n v="2256"/>
    <n v="271"/>
    <n v="869"/>
    <n v="203"/>
    <n v="1113"/>
    <n v="190"/>
    <n v="140"/>
    <n v="70"/>
    <n v="1343"/>
    <n v="310"/>
    <n v="1459"/>
    <n v="238"/>
    <n v="19.600000000000001"/>
    <n v="2.2000000000000002"/>
    <n v="4.0999999999999996"/>
    <n v="1"/>
    <n v="29.6"/>
    <n v="3.2"/>
    <n v="7.4"/>
    <n v="1.1000000000000001"/>
    <n v="4.3"/>
    <n v="0.8"/>
    <n v="22.6"/>
    <n v="0.1"/>
    <n v="18.899999999999999"/>
    <n v="0.4"/>
    <n v="17.3"/>
    <n v="1.6"/>
    <n v="5.6"/>
    <n v="1.4"/>
    <n v="0.1"/>
    <n v="0.2"/>
    <n v="6.3"/>
    <n v="0.8"/>
    <n v="4.0999999999999996"/>
    <n v="1"/>
    <n v="5.3"/>
    <n v="0.9"/>
    <n v="1"/>
    <n v="0.5"/>
    <n v="9.1999999999999993"/>
    <n v="2.1"/>
    <n v="4.0999999999999996"/>
    <n v="0.7"/>
    <n v="0.69230000000000003"/>
    <n v="0.61539999999999995"/>
    <n v="0.53849999999999998"/>
    <n v="0.69230000000000003"/>
    <n v="0.3846"/>
    <n v="2.9230999999999998"/>
    <n v="0.84619999999999995"/>
    <n v="0.69230000000000003"/>
    <n v="0.69230000000000003"/>
    <n v="0.92310000000000003"/>
    <n v="0.76919999999999999"/>
    <n v="0"/>
    <n v="3.0769000000000002"/>
    <n v="0.76919999999999999"/>
    <n v="0.53849999999999998"/>
    <n v="0.53849999999999998"/>
    <n v="0.53849999999999998"/>
    <n v="0.61539999999999995"/>
    <n v="7.6899999999999996E-2"/>
    <n v="0.23080000000000001"/>
    <n v="1"/>
    <n v="0.69230000000000003"/>
    <n v="2.6154000000000002"/>
    <n v="0.53849999999999998"/>
    <n v="9.1539000000000001"/>
    <n v="0.92310000000000003"/>
    <n v="0"/>
    <n v="0"/>
    <n v="0"/>
    <n v="0"/>
    <n v="0"/>
    <n v="0"/>
    <n v="0"/>
    <n v="0"/>
    <n v="1"/>
    <n v="0"/>
    <n v="0"/>
    <n v="1"/>
    <n v="0"/>
    <n v="0"/>
    <n v="0"/>
    <n v="0"/>
    <n v="0"/>
    <n v="1"/>
    <n v="0"/>
    <n v="1"/>
    <n v="2"/>
    <n v="37011"/>
    <n v="4884"/>
    <n v="894"/>
    <n v="272"/>
    <n v="148"/>
    <n v="753"/>
    <n v="0"/>
    <n v="321"/>
    <n v="90"/>
    <n v="107"/>
    <n v="58"/>
    <n v="46"/>
    <n v="68"/>
    <n v="715"/>
    <n v="161"/>
    <n v="42"/>
    <n v="42"/>
    <n v="14.3"/>
    <n v="0.1"/>
    <n v="0.8"/>
    <n v="0.4"/>
    <n v="2.1"/>
    <n v="0"/>
    <n v="0.9"/>
    <n v="0.3"/>
    <n v="0.3"/>
    <n v="0.2"/>
    <n v="0.1"/>
    <n v="0.2"/>
    <n v="2"/>
    <n v="0.5"/>
    <n v="0.1"/>
    <n v="0.1"/>
    <m/>
    <m/>
    <n v="77.721940297000003"/>
    <n v="76.790886553000007"/>
    <n v="78.652994039999996"/>
    <m/>
    <m/>
    <m/>
    <m/>
    <m/>
    <m/>
    <m/>
    <m/>
    <m/>
    <m/>
    <m/>
    <m/>
    <m/>
    <m/>
    <m/>
    <n v="536"/>
    <n v="372.70456660999997"/>
    <n v="337.60897148999999"/>
    <n v="407.80016173000001"/>
    <m/>
    <m/>
    <m/>
    <m/>
    <m/>
    <m/>
    <m/>
    <m/>
    <m/>
    <m/>
    <m/>
    <m/>
    <m/>
    <m/>
    <m/>
    <m/>
    <m/>
    <m/>
    <m/>
    <m/>
    <m/>
    <m/>
    <m/>
    <m/>
    <m/>
    <m/>
    <m/>
    <m/>
    <m/>
    <m/>
    <m/>
    <m/>
    <m/>
    <m/>
    <m/>
    <m/>
    <m/>
    <m/>
    <m/>
    <m/>
    <m/>
    <m/>
    <m/>
    <m/>
    <m/>
    <m/>
    <m/>
    <m/>
    <m/>
    <m/>
    <m/>
    <m/>
    <m/>
    <n v="4170"/>
    <n v="11.8"/>
    <n v="10.6"/>
    <n v="13.2"/>
    <n v="5301"/>
    <n v="15"/>
    <n v="13.4"/>
    <n v="16.7"/>
    <n v="2615"/>
    <n v="7.4"/>
    <n v="6.8"/>
    <n v="8.1"/>
    <n v="10"/>
    <n v="32.4"/>
    <n v="4090"/>
    <n v="11.4"/>
    <n v="1033.9918422000001"/>
    <n v="2.7851632114"/>
    <n v="35"/>
    <n v="32.882683978999999"/>
    <n v="22.903994215000001"/>
    <n v="45.731853332999997"/>
    <m/>
    <m/>
    <m/>
    <m/>
    <m/>
    <m/>
    <m/>
    <m/>
    <m/>
    <m/>
    <m/>
    <m/>
    <m/>
    <m/>
    <m/>
    <n v="25"/>
    <n v="9.9607149403000008"/>
    <n v="6.4460495197999998"/>
    <n v="14.703980181"/>
    <m/>
    <m/>
    <m/>
    <m/>
    <m/>
    <m/>
    <m/>
    <m/>
    <m/>
    <m/>
    <m/>
    <m/>
    <m/>
    <m/>
    <m/>
    <n v="12135"/>
    <n v="34.338571641999998"/>
    <n v="32.554714709000002"/>
    <n v="36.034099411"/>
    <n v="1470"/>
    <n v="7.4839629366000002"/>
    <n v="6.2924735748999998"/>
    <n v="8.6754522982999998"/>
    <n v="143"/>
    <n v="2.1026319659000001"/>
    <n v="1.3877383488999999"/>
    <n v="2.8175255829000001"/>
    <n v="135.83112"/>
    <s v="736:1"/>
    <n v="286"/>
    <n v="81.048951048999996"/>
    <n v="10.303752233000001"/>
    <n v="3.6577856304999998"/>
    <n v="16.949718835999999"/>
    <m/>
    <m/>
    <m/>
    <m/>
    <m/>
    <m/>
    <m/>
    <m/>
    <m/>
    <m/>
    <n v="3.7918837599999998E-2"/>
    <m/>
    <m/>
    <n v="42438"/>
    <n v="47341"/>
    <n v="0.89643226799999998"/>
    <n v="0.80524383060000004"/>
    <n v="0.98762070540000002"/>
    <n v="65528"/>
    <n v="57794.042552999999"/>
    <n v="73261.957446999993"/>
    <n v="15811"/>
    <n v="14426.489362"/>
    <n v="17195.510638"/>
    <n v="55363"/>
    <n v="16507.340425999999"/>
    <n v="94218.659574000005"/>
    <n v="28652"/>
    <n v="27863.234043"/>
    <n v="29440.765957"/>
    <n v="46338"/>
    <n v="34079.957447000001"/>
    <n v="58596.042552999999"/>
    <n v="60363"/>
    <n v="55885.382979000002"/>
    <n v="64840.617020999998"/>
    <n v="48.854961832000001"/>
    <n v="73.004546413"/>
    <n v="26.017546679999999"/>
    <n v="26.677145648"/>
    <n v="38"/>
    <n v="22.525192650000001"/>
    <m/>
    <m/>
    <m/>
    <m/>
    <m/>
    <m/>
    <m/>
    <m/>
    <m/>
    <m/>
    <m/>
    <m/>
    <m/>
    <m/>
    <m/>
    <m/>
    <m/>
    <m/>
    <n v="37"/>
    <n v="19.443608893"/>
    <n v="13.210988901"/>
    <n v="27.598650786"/>
    <n v="20.760391418000001"/>
    <m/>
    <m/>
    <m/>
    <m/>
    <m/>
    <m/>
    <m/>
    <m/>
    <m/>
    <m/>
    <m/>
    <m/>
    <m/>
    <m/>
    <m/>
    <n v="25"/>
    <n v="14.027291498"/>
    <n v="9.0777234535000009"/>
    <n v="20.707049386000001"/>
    <m/>
    <m/>
    <m/>
    <m/>
    <m/>
    <m/>
    <m/>
    <m/>
    <m/>
    <m/>
    <m/>
    <m/>
    <m/>
    <m/>
    <m/>
    <m/>
    <n v="90"/>
    <n v="3200"/>
    <n v="28.125"/>
    <n v="118.18433179"/>
    <n v="10699"/>
    <n v="73.356187864000006"/>
    <n v="70.283384402999999"/>
    <n v="76.428991326000002"/>
    <n v="1932"/>
    <n v="13.703099511"/>
    <n v="10.959449905"/>
    <n v="16.446749115999999"/>
    <n v="81.810078848000003"/>
    <n v="11932"/>
    <n v="79.161619938000001"/>
    <n v="84.458537758999995"/>
    <n v="35338"/>
    <n v="6574"/>
    <n v="18.603203351000001"/>
    <n v="8437"/>
    <n v="23.875148565"/>
    <n v="453"/>
    <n v="1.2819061633"/>
    <n v="126"/>
    <n v="0.3565566812"/>
    <n v="462"/>
    <n v="1.3073744976999999"/>
    <n v="20"/>
    <n v="5.6596298599999997E-2"/>
    <n v="818"/>
    <n v="2.3147886128000001"/>
    <n v="33003"/>
    <n v="93.392382138000002"/>
    <n v="19"/>
    <n v="5.5944879599999997E-2"/>
    <n v="0"/>
    <n v="0.32986207229999998"/>
    <n v="51.287565792999999"/>
    <n v="23950"/>
    <n v="64.511784512000006"/>
  </r>
  <r>
    <n v="50"/>
    <s v="Vermont"/>
    <s v="VT"/>
    <n v="50005"/>
    <x v="2"/>
    <n v="50005"/>
    <s v="Caledonia County, Vermont"/>
    <n v="648.75684731352203"/>
    <n v="30027"/>
    <n v="0"/>
    <n v="16452"/>
    <n v="110"/>
    <n v="12618"/>
    <n v="266"/>
    <n v="6137"/>
    <n v="562"/>
    <n v="480"/>
    <n v="127"/>
    <n v="3729"/>
    <n v="326"/>
    <n v="1548"/>
    <n v="216"/>
    <n v="1270"/>
    <n v="258"/>
    <n v="6265"/>
    <n v="67"/>
    <n v="5791"/>
    <n v="26"/>
    <n v="5024"/>
    <n v="407"/>
    <n v="681"/>
    <n v="173"/>
    <n v="90"/>
    <n v="81"/>
    <n v="1759"/>
    <n v="189"/>
    <n v="497"/>
    <n v="131"/>
    <n v="1444"/>
    <n v="217"/>
    <n v="211"/>
    <n v="80"/>
    <n v="1084"/>
    <n v="193"/>
    <n v="1114"/>
    <n v="253"/>
    <n v="21.1"/>
    <n v="1.9"/>
    <n v="3.1"/>
    <n v="0.8"/>
    <n v="29.6"/>
    <n v="2.5"/>
    <n v="7.2"/>
    <n v="1"/>
    <n v="4.3"/>
    <n v="0.9"/>
    <n v="20.9"/>
    <n v="0.2"/>
    <n v="19.3"/>
    <n v="0.1"/>
    <n v="16.899999999999999"/>
    <n v="1.3"/>
    <n v="5.4"/>
    <n v="1.4"/>
    <n v="0.3"/>
    <n v="0.3"/>
    <n v="5.9"/>
    <n v="0.6"/>
    <n v="3"/>
    <n v="0.8"/>
    <n v="8.8000000000000007"/>
    <n v="1.3"/>
    <n v="1.7"/>
    <n v="0.6"/>
    <n v="8.6"/>
    <n v="1.5"/>
    <n v="3.7"/>
    <n v="0.8"/>
    <n v="0.76919999999999999"/>
    <n v="0"/>
    <n v="0.3846"/>
    <n v="0.53849999999999998"/>
    <n v="0.3846"/>
    <n v="2.0769000000000002"/>
    <n v="0.23080000000000001"/>
    <n v="0.46150000000000002"/>
    <n v="0.76919999999999999"/>
    <n v="0.76919999999999999"/>
    <n v="0.69230000000000003"/>
    <n v="0.53849999999999998"/>
    <n v="3.2307000000000001"/>
    <n v="0.92310000000000003"/>
    <n v="0.46150000000000002"/>
    <n v="0.46150000000000002"/>
    <n v="0.46150000000000002"/>
    <n v="0.46150000000000002"/>
    <n v="0.69230000000000003"/>
    <n v="0.69230000000000003"/>
    <n v="0.92310000000000003"/>
    <n v="0.53849999999999998"/>
    <n v="3.3077000000000001"/>
    <n v="0.92310000000000003"/>
    <n v="9.0768000000000004"/>
    <n v="0.84619999999999995"/>
    <n v="0"/>
    <n v="0"/>
    <n v="0"/>
    <n v="0"/>
    <n v="0"/>
    <n v="0"/>
    <n v="0"/>
    <n v="0"/>
    <n v="0"/>
    <n v="0"/>
    <n v="0"/>
    <n v="0"/>
    <n v="0"/>
    <n v="0"/>
    <n v="0"/>
    <n v="0"/>
    <n v="0"/>
    <n v="1"/>
    <n v="0"/>
    <n v="1"/>
    <n v="1"/>
    <n v="25077"/>
    <n v="4426"/>
    <n v="606"/>
    <n v="182"/>
    <n v="42"/>
    <n v="517"/>
    <n v="0"/>
    <n v="104"/>
    <n v="51"/>
    <n v="50"/>
    <n v="31"/>
    <n v="0"/>
    <n v="21"/>
    <n v="755"/>
    <n v="93"/>
    <n v="151"/>
    <n v="151"/>
    <n v="15.3"/>
    <n v="0.1"/>
    <n v="0.6"/>
    <n v="0.1"/>
    <n v="1.7"/>
    <n v="0"/>
    <n v="0.3"/>
    <n v="0.2"/>
    <n v="0.2"/>
    <n v="0.1"/>
    <n v="0"/>
    <n v="0.1"/>
    <n v="2.5"/>
    <n v="0.3"/>
    <n v="0.5"/>
    <n v="0.5"/>
    <m/>
    <m/>
    <n v="78.403965866999997"/>
    <n v="77.359855343999996"/>
    <n v="79.448076389999997"/>
    <m/>
    <m/>
    <m/>
    <m/>
    <m/>
    <m/>
    <m/>
    <m/>
    <m/>
    <m/>
    <m/>
    <m/>
    <m/>
    <m/>
    <m/>
    <n v="431"/>
    <n v="357.00678304000002"/>
    <n v="319.97672030000001"/>
    <n v="394.03684578000002"/>
    <m/>
    <m/>
    <m/>
    <m/>
    <m/>
    <m/>
    <m/>
    <m/>
    <m/>
    <m/>
    <m/>
    <m/>
    <m/>
    <m/>
    <m/>
    <m/>
    <m/>
    <m/>
    <m/>
    <m/>
    <m/>
    <m/>
    <m/>
    <m/>
    <m/>
    <m/>
    <m/>
    <m/>
    <m/>
    <m/>
    <m/>
    <m/>
    <m/>
    <m/>
    <m/>
    <m/>
    <m/>
    <m/>
    <m/>
    <m/>
    <m/>
    <m/>
    <m/>
    <m/>
    <m/>
    <m/>
    <m/>
    <m/>
    <m/>
    <m/>
    <m/>
    <m/>
    <m/>
    <n v="3683"/>
    <n v="12.4"/>
    <n v="11"/>
    <n v="13.9"/>
    <n v="4396"/>
    <n v="14.8"/>
    <n v="13.2"/>
    <n v="16.5"/>
    <n v="2376"/>
    <n v="8"/>
    <n v="7.3"/>
    <n v="8.6999999999999993"/>
    <n v="13"/>
    <n v="49.8"/>
    <n v="3520"/>
    <n v="11.6"/>
    <n v="521.87594111999999"/>
    <n v="1.6712330391000001"/>
    <n v="30"/>
    <n v="33.333333332999999"/>
    <n v="22.489860023999999"/>
    <n v="47.585405993999998"/>
    <m/>
    <m/>
    <m/>
    <m/>
    <m/>
    <m/>
    <m/>
    <m/>
    <m/>
    <m/>
    <m/>
    <m/>
    <m/>
    <m/>
    <m/>
    <n v="21"/>
    <n v="9.8936200285000009"/>
    <n v="6.1243067324"/>
    <n v="15.123449168"/>
    <m/>
    <m/>
    <m/>
    <m/>
    <m/>
    <m/>
    <m/>
    <m/>
    <m/>
    <m/>
    <m/>
    <m/>
    <m/>
    <m/>
    <m/>
    <n v="9262"/>
    <n v="31.180692841999999"/>
    <n v="29.533852999"/>
    <n v="32.818876076999999"/>
    <n v="1223"/>
    <n v="7.244402322"/>
    <n v="6.0529129602999996"/>
    <n v="8.4358916836999995"/>
    <n v="108"/>
    <n v="1.8411183089000001"/>
    <n v="1.2453736280000001"/>
    <n v="2.4368629896999998"/>
    <n v="121.19171999999999"/>
    <s v="825:1"/>
    <n v="104"/>
    <n v="89.975961538000007"/>
    <m/>
    <m/>
    <m/>
    <m/>
    <m/>
    <m/>
    <m/>
    <m/>
    <m/>
    <m/>
    <m/>
    <m/>
    <m/>
    <n v="7.9119088500000004E-2"/>
    <m/>
    <m/>
    <n v="42494"/>
    <n v="44824"/>
    <n v="0.94801891839999997"/>
    <n v="0.8445558031"/>
    <n v="1.0514820337999999"/>
    <n v="52203"/>
    <n v="44523.851064000002"/>
    <n v="59882.148935999998"/>
    <m/>
    <m/>
    <m/>
    <m/>
    <m/>
    <m/>
    <m/>
    <m/>
    <m/>
    <n v="38438"/>
    <n v="21932.297871999999"/>
    <n v="54943.702127999997"/>
    <n v="52965"/>
    <n v="47198.191488999997"/>
    <n v="58731.808511000003"/>
    <n v="49.823207971999999"/>
    <n v="61.536784930000003"/>
    <n v="25.364883044999999"/>
    <n v="30.592111564"/>
    <n v="31"/>
    <n v="23.082650782000002"/>
    <m/>
    <m/>
    <m/>
    <m/>
    <m/>
    <m/>
    <m/>
    <m/>
    <m/>
    <m/>
    <m/>
    <m/>
    <m/>
    <m/>
    <m/>
    <m/>
    <m/>
    <m/>
    <n v="46"/>
    <n v="31.789892938000001"/>
    <n v="22.911358630999999"/>
    <n v="42.970700121"/>
    <n v="30.565393329999999"/>
    <m/>
    <m/>
    <m/>
    <m/>
    <m/>
    <m/>
    <m/>
    <m/>
    <m/>
    <m/>
    <m/>
    <m/>
    <m/>
    <m/>
    <m/>
    <n v="28"/>
    <n v="18.605022027"/>
    <n v="12.362902022"/>
    <n v="26.889436961000001"/>
    <m/>
    <m/>
    <m/>
    <m/>
    <m/>
    <m/>
    <m/>
    <m/>
    <m/>
    <m/>
    <m/>
    <m/>
    <m/>
    <m/>
    <m/>
    <m/>
    <n v="20"/>
    <n v="2800"/>
    <n v="7.1428571428999996"/>
    <n v="76.567510963000004"/>
    <n v="9470"/>
    <n v="75.051513710999998"/>
    <n v="73.363155618999997"/>
    <n v="76.739871801999996"/>
    <n v="1640"/>
    <n v="13.367022577"/>
    <n v="11.292809555"/>
    <n v="15.441235599000001"/>
    <n v="79.949278808000003"/>
    <n v="10088"/>
    <n v="77.468549049999993"/>
    <n v="82.430008565999998"/>
    <n v="29705"/>
    <n v="5624"/>
    <n v="18.932839589"/>
    <n v="6655"/>
    <n v="22.403635752"/>
    <n v="227"/>
    <n v="0.76418111430000002"/>
    <n v="145"/>
    <n v="0.48813331090000001"/>
    <n v="272"/>
    <n v="0.91567076250000001"/>
    <n v="6"/>
    <n v="2.0198619800000001E-2"/>
    <n v="547"/>
    <n v="1.8414408349"/>
    <n v="28075"/>
    <n v="94.512708298000007"/>
    <n v="90"/>
    <n v="0.3137637707"/>
    <n v="0"/>
    <n v="0.65158132980000005"/>
    <n v="50.045446894000001"/>
    <n v="23230"/>
    <n v="74.390751593000005"/>
  </r>
  <r>
    <n v="50"/>
    <s v="Vermont"/>
    <s v="VT"/>
    <n v="50007"/>
    <x v="3"/>
    <n v="50007"/>
    <s v="Chittenden County, Vermont"/>
    <n v="537.28284776341798"/>
    <n v="163414"/>
    <n v="0"/>
    <n v="70460"/>
    <n v="260"/>
    <n v="66478"/>
    <n v="542"/>
    <n v="26625"/>
    <n v="1657"/>
    <n v="3435"/>
    <n v="471"/>
    <n v="20346"/>
    <n v="1122"/>
    <n v="5626"/>
    <n v="632"/>
    <n v="5127"/>
    <n v="636"/>
    <n v="24654"/>
    <n v="138"/>
    <n v="29054"/>
    <n v="0"/>
    <n v="18580"/>
    <n v="1140"/>
    <n v="2929"/>
    <n v="432"/>
    <n v="2555"/>
    <n v="518"/>
    <n v="19650"/>
    <n v="1142"/>
    <n v="9195"/>
    <n v="624"/>
    <n v="3084"/>
    <n v="380"/>
    <n v="813"/>
    <n v="217"/>
    <n v="4802"/>
    <n v="527"/>
    <n v="9840"/>
    <n v="562"/>
    <n v="17.3"/>
    <n v="1.1000000000000001"/>
    <n v="3.6"/>
    <n v="0.5"/>
    <n v="30.6"/>
    <n v="1.7"/>
    <n v="5.2"/>
    <n v="0.6"/>
    <n v="3.2"/>
    <n v="0.4"/>
    <n v="15.1"/>
    <n v="0.1"/>
    <n v="17.8"/>
    <n v="0"/>
    <n v="11.5"/>
    <n v="0.7"/>
    <n v="4.4000000000000004"/>
    <n v="0.6"/>
    <n v="1.6"/>
    <n v="0.3"/>
    <n v="12"/>
    <n v="0.7"/>
    <n v="13"/>
    <n v="0.9"/>
    <n v="4.4000000000000004"/>
    <n v="0.5"/>
    <n v="1.2"/>
    <n v="0.3"/>
    <n v="7.2"/>
    <n v="0.8"/>
    <n v="6"/>
    <n v="0.3"/>
    <n v="0.30769999999999997"/>
    <n v="0.23080000000000001"/>
    <n v="1"/>
    <n v="0"/>
    <n v="0"/>
    <n v="1.5385"/>
    <n v="7.6899999999999996E-2"/>
    <n v="0"/>
    <n v="0.30769999999999997"/>
    <n v="7.6899999999999996E-2"/>
    <n v="0.3846"/>
    <n v="1"/>
    <n v="1.7692000000000001"/>
    <n v="0.15379999999999999"/>
    <n v="1"/>
    <n v="1"/>
    <n v="1"/>
    <n v="1"/>
    <n v="0"/>
    <n v="0.30769999999999997"/>
    <n v="0.69230000000000003"/>
    <n v="0.92310000000000003"/>
    <n v="2.9230999999999998"/>
    <n v="0.84619999999999995"/>
    <n v="7.2308000000000003"/>
    <n v="0.3846"/>
    <n v="0"/>
    <n v="0"/>
    <n v="1"/>
    <n v="0"/>
    <n v="0"/>
    <n v="1"/>
    <n v="0"/>
    <n v="0"/>
    <n v="0"/>
    <n v="0"/>
    <n v="1"/>
    <n v="1"/>
    <n v="1"/>
    <n v="1"/>
    <n v="1"/>
    <n v="0"/>
    <n v="0"/>
    <n v="0"/>
    <n v="1"/>
    <n v="2"/>
    <n v="5"/>
    <n v="186233"/>
    <n v="15870"/>
    <n v="1876"/>
    <n v="4157"/>
    <n v="313"/>
    <n v="3956"/>
    <n v="0"/>
    <n v="6160"/>
    <n v="673"/>
    <n v="255"/>
    <n v="124"/>
    <n v="44"/>
    <n v="57"/>
    <n v="4741"/>
    <n v="800"/>
    <n v="337"/>
    <n v="337"/>
    <n v="10.3"/>
    <n v="0"/>
    <n v="2.5"/>
    <n v="0.2"/>
    <n v="2.4"/>
    <n v="0"/>
    <n v="3.8"/>
    <n v="0.4"/>
    <n v="0.2"/>
    <n v="0.1"/>
    <n v="0"/>
    <n v="0.1"/>
    <n v="2.9"/>
    <n v="0.5"/>
    <n v="0.2"/>
    <n v="0.1"/>
    <n v="62"/>
    <n v="30.545267003999999"/>
    <n v="81.721401327999999"/>
    <n v="81.279129404000003"/>
    <n v="82.163673251000006"/>
    <m/>
    <m/>
    <m/>
    <n v="85.532515568999997"/>
    <n v="81.514476118999994"/>
    <n v="89.550555019000001"/>
    <n v="77.448706143999999"/>
    <n v="71.761965809000003"/>
    <n v="83.135446479999999"/>
    <n v="90.827089866999998"/>
    <n v="75.483728662000004"/>
    <n v="106.17045107"/>
    <n v="81.750002189"/>
    <n v="81.298645344999997"/>
    <n v="82.201359033000003"/>
    <n v="1365"/>
    <n v="244.81422305000001"/>
    <n v="231.33455261"/>
    <n v="258.29389350000002"/>
    <m/>
    <m/>
    <m/>
    <n v="173.74813416000001"/>
    <n v="118.05342745999999"/>
    <n v="246.62160743999999"/>
    <n v="455.45700219999998"/>
    <n v="305.0267025"/>
    <n v="654.11222913999995"/>
    <m/>
    <m/>
    <m/>
    <n v="242.54403066"/>
    <n v="228.57911186000001"/>
    <n v="256.50894946"/>
    <n v="44"/>
    <n v="38.081719909"/>
    <n v="27.670235984000001"/>
    <n v="51.122931496"/>
    <m/>
    <m/>
    <m/>
    <m/>
    <m/>
    <m/>
    <m/>
    <m/>
    <m/>
    <m/>
    <m/>
    <m/>
    <m/>
    <m/>
    <m/>
    <n v="46"/>
    <n v="4.2201834861999998"/>
    <n v="3.0897047164"/>
    <n v="5.6291333678999997"/>
    <m/>
    <m/>
    <m/>
    <m/>
    <m/>
    <m/>
    <m/>
    <m/>
    <m/>
    <m/>
    <m/>
    <m/>
    <m/>
    <m/>
    <m/>
    <n v="16924"/>
    <n v="10.3"/>
    <n v="9.1"/>
    <n v="11.5"/>
    <n v="21360"/>
    <n v="13"/>
    <n v="11.6"/>
    <n v="14.5"/>
    <n v="10844"/>
    <n v="6.6"/>
    <n v="6.1"/>
    <n v="7.2"/>
    <n v="43"/>
    <n v="29.9"/>
    <n v="15850"/>
    <n v="9.6999999999999993"/>
    <n v="3910.6405337000001"/>
    <n v="2.4980935408999998"/>
    <n v="76"/>
    <n v="15.426710944"/>
    <n v="12.154493613"/>
    <n v="19.308829146000001"/>
    <m/>
    <m/>
    <m/>
    <m/>
    <m/>
    <m/>
    <m/>
    <m/>
    <m/>
    <m/>
    <m/>
    <m/>
    <m/>
    <m/>
    <m/>
    <n v="61"/>
    <n v="5.3580776973999997"/>
    <n v="4.0985048821000003"/>
    <n v="6.8826749556999998"/>
    <m/>
    <m/>
    <m/>
    <m/>
    <m/>
    <m/>
    <m/>
    <m/>
    <m/>
    <m/>
    <m/>
    <m/>
    <m/>
    <m/>
    <m/>
    <n v="48442"/>
    <n v="29.482938793999999"/>
    <n v="27.937650949999998"/>
    <n v="31.016599488000001"/>
    <n v="5943"/>
    <n v="5.8388351804000003"/>
    <n v="5.1239415633999998"/>
    <n v="6.5537287973999998"/>
    <n v="518"/>
    <n v="1.7322676655"/>
    <n v="1.2556719208"/>
    <n v="2.2088634101000002"/>
    <n v="155.80685"/>
    <s v="642:1"/>
    <n v="1674"/>
    <n v="87.206391875999998"/>
    <n v="2.8323358340999998"/>
    <n v="1.3466629719000001"/>
    <n v="4.3180086962999997"/>
    <m/>
    <m/>
    <m/>
    <m/>
    <m/>
    <m/>
    <m/>
    <m/>
    <m/>
    <m/>
    <n v="0.10272377890000001"/>
    <m/>
    <m/>
    <n v="49914"/>
    <n v="60729"/>
    <n v="0.82191374800000006"/>
    <n v="0.77907333249999999"/>
    <n v="0.8647541634"/>
    <n v="80539"/>
    <n v="74043"/>
    <n v="87035"/>
    <n v="43922"/>
    <n v="21954.510638"/>
    <n v="65889.489361999993"/>
    <n v="50625"/>
    <n v="30032.489362"/>
    <n v="71217.510638000007"/>
    <n v="36310"/>
    <n v="20616.893617000002"/>
    <n v="52003.106382999998"/>
    <n v="56738"/>
    <n v="51409.659573999998"/>
    <n v="62066.340426000002"/>
    <n v="79772"/>
    <n v="76458.468085"/>
    <n v="83085.531915"/>
    <n v="25.499121186"/>
    <n v="51.694970240000004"/>
    <n v="35.257635538000002"/>
    <n v="25.981201653999999"/>
    <n v="174"/>
    <n v="23.049410517999998"/>
    <n v="1.9324214646"/>
    <n v="1.2110382437"/>
    <n v="2.9257093205000002"/>
    <m/>
    <m/>
    <m/>
    <m/>
    <m/>
    <m/>
    <m/>
    <m/>
    <m/>
    <m/>
    <m/>
    <m/>
    <m/>
    <m/>
    <m/>
    <n v="104"/>
    <n v="12.135631536"/>
    <n v="9.7301239454000008"/>
    <n v="14.541139126999999"/>
    <n v="12.73643539"/>
    <m/>
    <m/>
    <m/>
    <m/>
    <m/>
    <m/>
    <m/>
    <m/>
    <m/>
    <m/>
    <m/>
    <m/>
    <m/>
    <m/>
    <m/>
    <n v="55"/>
    <n v="6.7356148698"/>
    <n v="5.0741869159000004"/>
    <n v="8.7673285910000001"/>
    <m/>
    <m/>
    <m/>
    <m/>
    <m/>
    <m/>
    <m/>
    <m/>
    <m/>
    <m/>
    <m/>
    <m/>
    <m/>
    <m/>
    <m/>
    <m/>
    <n v="198"/>
    <n v="13400"/>
    <n v="14.776119402999999"/>
    <n v="401.77538976"/>
    <n v="41815"/>
    <n v="62.900508438999999"/>
    <n v="61.401833809000003"/>
    <n v="64.399183067999999"/>
    <n v="10278"/>
    <n v="15.673656119"/>
    <n v="14.200488739000001"/>
    <n v="17.146823499"/>
    <n v="86.819699749999998"/>
    <n v="57716"/>
    <n v="85.313800143999998"/>
    <n v="88.325599357000002"/>
    <n v="164306"/>
    <n v="28617"/>
    <n v="17.416892871000002"/>
    <n v="26445"/>
    <n v="16.094969143"/>
    <n v="3940"/>
    <n v="2.397964773"/>
    <n v="412"/>
    <n v="0.25075164630000002"/>
    <n v="7957"/>
    <n v="4.8427933246999997"/>
    <n v="58"/>
    <n v="3.5299988999999997E-2"/>
    <n v="4204"/>
    <n v="2.5586405852"/>
    <n v="144343"/>
    <n v="87.850108942999995"/>
    <n v="2555"/>
    <n v="1.6392390851"/>
    <n v="1.2428230297"/>
    <n v="2.0356551404999998"/>
    <n v="51.010918652000001"/>
    <n v="40680"/>
    <n v="25.986138171"/>
  </r>
  <r>
    <n v="50"/>
    <s v="Vermont"/>
    <s v="VT"/>
    <n v="50009"/>
    <x v="4"/>
    <n v="50009"/>
    <s v="Essex County, Vermont"/>
    <n v="662.53919488488395"/>
    <n v="6179"/>
    <n v="3"/>
    <n v="5209"/>
    <n v="36"/>
    <n v="2882"/>
    <n v="127"/>
    <n v="1526"/>
    <n v="218"/>
    <n v="153"/>
    <n v="42"/>
    <n v="860"/>
    <n v="112"/>
    <n v="552"/>
    <n v="86"/>
    <n v="320"/>
    <n v="71"/>
    <n v="1618"/>
    <n v="26"/>
    <n v="1067"/>
    <n v="23"/>
    <n v="1257"/>
    <n v="139"/>
    <n v="166"/>
    <n v="55"/>
    <n v="7"/>
    <n v="54"/>
    <n v="310"/>
    <n v="70"/>
    <n v="17"/>
    <n v="10"/>
    <n v="516"/>
    <n v="83"/>
    <n v="73"/>
    <n v="36"/>
    <n v="130"/>
    <n v="39"/>
    <n v="25"/>
    <n v="12"/>
    <n v="24.8"/>
    <n v="3.5"/>
    <n v="5.2"/>
    <n v="1.5"/>
    <n v="29.8"/>
    <n v="3.7"/>
    <n v="11.6"/>
    <n v="1.8"/>
    <n v="5.2"/>
    <n v="1.1000000000000001"/>
    <n v="26.2"/>
    <n v="0.4"/>
    <n v="17.3"/>
    <n v="0.4"/>
    <n v="20.3"/>
    <n v="2.2999999999999998"/>
    <n v="5.8"/>
    <n v="1.9"/>
    <n v="0.1"/>
    <n v="0.9"/>
    <n v="5"/>
    <n v="1.1000000000000001"/>
    <n v="0.3"/>
    <n v="0.2"/>
    <n v="9.9"/>
    <n v="1.6"/>
    <n v="2.5"/>
    <n v="1.2"/>
    <n v="4.5"/>
    <n v="1.3"/>
    <n v="0.4"/>
    <n v="0.2"/>
    <n v="1"/>
    <n v="1"/>
    <n v="7.6899999999999996E-2"/>
    <n v="1"/>
    <n v="0.76919999999999999"/>
    <n v="3.8460999999999999"/>
    <n v="1"/>
    <n v="1"/>
    <n v="0.15379999999999999"/>
    <n v="1"/>
    <n v="0.84619999999999995"/>
    <n v="0"/>
    <n v="3"/>
    <n v="0.69230000000000003"/>
    <n v="7.6899999999999996E-2"/>
    <n v="7.6899999999999996E-2"/>
    <n v="7.6899999999999996E-2"/>
    <n v="0"/>
    <n v="0.92310000000000003"/>
    <n v="0.92310000000000003"/>
    <n v="0.15379999999999999"/>
    <n v="7.6899999999999996E-2"/>
    <n v="2.0769000000000002"/>
    <n v="0.15379999999999999"/>
    <n v="8.9999000000000002"/>
    <n v="0.76919999999999999"/>
    <n v="1"/>
    <n v="1"/>
    <n v="0"/>
    <n v="1"/>
    <n v="0"/>
    <n v="3"/>
    <n v="1"/>
    <n v="0"/>
    <n v="1"/>
    <n v="0"/>
    <n v="0"/>
    <n v="2"/>
    <n v="0"/>
    <n v="0"/>
    <n v="0"/>
    <n v="1"/>
    <n v="1"/>
    <n v="0"/>
    <n v="0"/>
    <n v="2"/>
    <n v="7"/>
    <n v="4239"/>
    <n v="1074"/>
    <n v="168"/>
    <n v="46"/>
    <n v="38"/>
    <n v="86"/>
    <n v="14"/>
    <n v="27"/>
    <n v="25"/>
    <n v="4"/>
    <n v="7"/>
    <n v="0"/>
    <n v="14"/>
    <n v="143"/>
    <n v="50"/>
    <n v="4"/>
    <n v="4"/>
    <n v="17.5"/>
    <n v="0"/>
    <n v="0.7"/>
    <n v="0.6"/>
    <n v="1.4"/>
    <n v="0.1"/>
    <n v="0.4"/>
    <n v="0.4"/>
    <n v="0.1"/>
    <n v="0.1"/>
    <n v="0"/>
    <n v="0.4"/>
    <n v="2.2999999999999998"/>
    <n v="0.8"/>
    <n v="0.1"/>
    <n v="0.1"/>
    <m/>
    <m/>
    <n v="79.801556867000002"/>
    <n v="77.646342775999997"/>
    <n v="81.956770958999996"/>
    <m/>
    <m/>
    <m/>
    <m/>
    <m/>
    <m/>
    <m/>
    <m/>
    <m/>
    <m/>
    <m/>
    <m/>
    <m/>
    <m/>
    <m/>
    <n v="108"/>
    <n v="367.13960879000001"/>
    <n v="288.46962292000001"/>
    <n v="445.80959465000001"/>
    <m/>
    <m/>
    <m/>
    <m/>
    <m/>
    <m/>
    <m/>
    <m/>
    <m/>
    <m/>
    <m/>
    <m/>
    <m/>
    <m/>
    <m/>
    <m/>
    <m/>
    <m/>
    <m/>
    <m/>
    <m/>
    <m/>
    <m/>
    <m/>
    <m/>
    <m/>
    <m/>
    <m/>
    <m/>
    <m/>
    <m/>
    <m/>
    <m/>
    <m/>
    <m/>
    <m/>
    <m/>
    <m/>
    <m/>
    <m/>
    <m/>
    <m/>
    <m/>
    <m/>
    <m/>
    <m/>
    <m/>
    <m/>
    <m/>
    <m/>
    <m/>
    <m/>
    <m/>
    <n v="827"/>
    <n v="13.5"/>
    <n v="12"/>
    <n v="14.9"/>
    <n v="1016"/>
    <n v="16.600000000000001"/>
    <n v="14.9"/>
    <n v="18"/>
    <n v="520"/>
    <n v="8.5"/>
    <n v="7.8"/>
    <n v="9.1999999999999993"/>
    <m/>
    <m/>
    <n v="760"/>
    <n v="12.3"/>
    <n v="632.15344518999996"/>
    <n v="10.024634399"/>
    <m/>
    <m/>
    <m/>
    <m/>
    <m/>
    <m/>
    <m/>
    <m/>
    <m/>
    <m/>
    <m/>
    <m/>
    <m/>
    <m/>
    <m/>
    <m/>
    <m/>
    <m/>
    <m/>
    <n v="12"/>
    <n v="27.758501040999999"/>
    <n v="14.343222551"/>
    <n v="48.488515032000002"/>
    <m/>
    <m/>
    <m/>
    <m/>
    <m/>
    <m/>
    <m/>
    <m/>
    <m/>
    <m/>
    <m/>
    <m/>
    <m/>
    <m/>
    <m/>
    <n v="2168"/>
    <n v="35.400512052000003"/>
    <n v="33.738247297999997"/>
    <n v="36.776982437999997"/>
    <n v="268"/>
    <n v="7.7233429395000002"/>
    <n v="6.2935557054000002"/>
    <n v="9.1531301734999992"/>
    <n v="22"/>
    <n v="2.0833333333000001"/>
    <n v="1.130141844"/>
    <n v="3.0365248227000001"/>
    <n v="65.327449999999999"/>
    <s v="1531:1"/>
    <m/>
    <m/>
    <m/>
    <m/>
    <m/>
    <m/>
    <m/>
    <m/>
    <m/>
    <m/>
    <m/>
    <m/>
    <m/>
    <m/>
    <m/>
    <m/>
    <m/>
    <m/>
    <n v="38047"/>
    <n v="44364"/>
    <n v="0.85760977370000002"/>
    <n v="0.74406002940000004"/>
    <n v="0.971159518"/>
    <n v="50956"/>
    <n v="42751.404255000001"/>
    <n v="59160.595744999999"/>
    <m/>
    <m/>
    <m/>
    <m/>
    <m/>
    <m/>
    <m/>
    <m/>
    <m/>
    <m/>
    <m/>
    <m/>
    <m/>
    <m/>
    <m/>
    <n v="40.540540540999999"/>
    <m/>
    <n v="4.3327254841"/>
    <n v="27.066488735"/>
    <n v="5"/>
    <n v="19.305019304999998"/>
    <m/>
    <m/>
    <m/>
    <m/>
    <m/>
    <m/>
    <m/>
    <m/>
    <m/>
    <m/>
    <m/>
    <m/>
    <m/>
    <m/>
    <m/>
    <m/>
    <m/>
    <m/>
    <m/>
    <m/>
    <m/>
    <m/>
    <m/>
    <m/>
    <m/>
    <m/>
    <m/>
    <m/>
    <m/>
    <m/>
    <m/>
    <m/>
    <m/>
    <m/>
    <m/>
    <m/>
    <m/>
    <m/>
    <m/>
    <m/>
    <m/>
    <m/>
    <m/>
    <m/>
    <m/>
    <m/>
    <m/>
    <m/>
    <m/>
    <m/>
    <m/>
    <m/>
    <m/>
    <m/>
    <m/>
    <m/>
    <m/>
    <m/>
    <s v="1-4"/>
    <n v="500"/>
    <m/>
    <n v="6.5712338517999997"/>
    <n v="2393"/>
    <n v="83.032616239000006"/>
    <n v="80.181486370000002"/>
    <n v="85.883746107999997"/>
    <n v="406"/>
    <n v="14.683544304"/>
    <n v="11.059597905"/>
    <n v="18.307490701999999"/>
    <n v="76.474670368000005"/>
    <n v="2204"/>
    <n v="72.840258664999993"/>
    <n v="80.109082069999999"/>
    <n v="6123"/>
    <n v="1019"/>
    <n v="16.642168870999999"/>
    <n v="1701"/>
    <n v="27.780499755000001"/>
    <n v="31"/>
    <n v="0.50628776740000003"/>
    <n v="38"/>
    <n v="0.62061081169999999"/>
    <n v="43"/>
    <n v="0.70227012899999997"/>
    <n v="0"/>
    <n v="0"/>
    <n v="88"/>
    <n v="1.437203985"/>
    <n v="5827"/>
    <n v="95.165768413999999"/>
    <n v="7"/>
    <n v="0.1182432432"/>
    <n v="0"/>
    <n v="1.2185946862999999"/>
    <n v="50.187816429999998"/>
    <n v="6306"/>
    <n v="100"/>
  </r>
  <r>
    <n v="50"/>
    <s v="Vermont"/>
    <s v="VT"/>
    <n v="50011"/>
    <x v="5"/>
    <n v="50011"/>
    <s v="Franklin County, Vermont"/>
    <n v="630.67596246932999"/>
    <n v="49275"/>
    <n v="0"/>
    <n v="22706"/>
    <n v="55"/>
    <n v="19045"/>
    <n v="355"/>
    <n v="7944"/>
    <n v="932"/>
    <n v="1163"/>
    <n v="333"/>
    <n v="5665"/>
    <n v="504"/>
    <n v="3086"/>
    <n v="445"/>
    <n v="1679"/>
    <n v="282"/>
    <n v="7965"/>
    <n v="76"/>
    <n v="10948"/>
    <n v="0"/>
    <n v="6295"/>
    <n v="466"/>
    <n v="947"/>
    <n v="193"/>
    <n v="153"/>
    <n v="112"/>
    <n v="3113"/>
    <n v="295"/>
    <n v="857"/>
    <n v="177"/>
    <n v="1552"/>
    <n v="276"/>
    <n v="256"/>
    <n v="92"/>
    <n v="1070"/>
    <n v="248"/>
    <n v="409"/>
    <n v="137"/>
    <n v="16.3"/>
    <n v="1.9"/>
    <n v="4.4000000000000004"/>
    <n v="1.2"/>
    <n v="29.7"/>
    <n v="2.6"/>
    <n v="8.9"/>
    <n v="1.3"/>
    <n v="3.4"/>
    <n v="0.6"/>
    <n v="16.2"/>
    <n v="0.2"/>
    <n v="22.2"/>
    <n v="0"/>
    <n v="12.9"/>
    <n v="1"/>
    <n v="5"/>
    <n v="1"/>
    <n v="0.3"/>
    <n v="0.2"/>
    <n v="6.3"/>
    <n v="0.6"/>
    <n v="3.8"/>
    <n v="0.8"/>
    <n v="6.8"/>
    <n v="1.2"/>
    <n v="1.3"/>
    <n v="0.5"/>
    <n v="5.6"/>
    <n v="1.3"/>
    <n v="0.8"/>
    <n v="0.3"/>
    <n v="0.15379999999999999"/>
    <n v="0.76919999999999999"/>
    <n v="0.61539999999999995"/>
    <n v="0.84619999999999995"/>
    <n v="0.23080000000000001"/>
    <n v="2.6154000000000002"/>
    <n v="0.53849999999999998"/>
    <n v="7.6899999999999996E-2"/>
    <n v="1"/>
    <n v="0.15379999999999999"/>
    <n v="0.53849999999999998"/>
    <n v="0.53849999999999998"/>
    <n v="2.3077000000000001"/>
    <n v="0.3846"/>
    <n v="0.53849999999999998"/>
    <n v="0.53849999999999998"/>
    <n v="0.53849999999999998"/>
    <n v="0.53849999999999998"/>
    <n v="0.46150000000000002"/>
    <n v="0.3846"/>
    <n v="0.3846"/>
    <n v="0.15379999999999999"/>
    <n v="1.923"/>
    <n v="7.6899999999999996E-2"/>
    <n v="7.3845999999999998"/>
    <n v="0.46150000000000002"/>
    <n v="0"/>
    <n v="0"/>
    <n v="0"/>
    <n v="0"/>
    <n v="0"/>
    <n v="0"/>
    <n v="0"/>
    <n v="1"/>
    <n v="0"/>
    <n v="0"/>
    <n v="0"/>
    <n v="1"/>
    <n v="0"/>
    <n v="0"/>
    <n v="0"/>
    <n v="0"/>
    <n v="0"/>
    <n v="0"/>
    <n v="0"/>
    <n v="0"/>
    <n v="1"/>
    <n v="42509"/>
    <n v="5940"/>
    <n v="739"/>
    <n v="188"/>
    <n v="100"/>
    <n v="818"/>
    <n v="0"/>
    <n v="363"/>
    <n v="97"/>
    <n v="202"/>
    <n v="90"/>
    <n v="0"/>
    <n v="21"/>
    <n v="1521"/>
    <n v="162"/>
    <n v="21"/>
    <n v="21"/>
    <n v="12.2"/>
    <n v="0"/>
    <n v="0.4"/>
    <n v="0.2"/>
    <n v="1.7"/>
    <n v="0"/>
    <n v="0.7"/>
    <n v="0.2"/>
    <n v="0.4"/>
    <n v="0.2"/>
    <n v="0"/>
    <n v="0.1"/>
    <n v="3.1"/>
    <n v="0.3"/>
    <n v="0"/>
    <n v="0.1"/>
    <n v="25"/>
    <n v="43.011450912999997"/>
    <n v="78.789052471000005"/>
    <n v="78.041613881999993"/>
    <n v="79.536491060000003"/>
    <m/>
    <m/>
    <m/>
    <m/>
    <m/>
    <m/>
    <m/>
    <m/>
    <m/>
    <m/>
    <m/>
    <m/>
    <m/>
    <m/>
    <m/>
    <n v="607"/>
    <n v="323.37002511999998"/>
    <n v="296.52031161999997"/>
    <n v="350.21973860999998"/>
    <m/>
    <m/>
    <m/>
    <m/>
    <m/>
    <m/>
    <m/>
    <m/>
    <m/>
    <m/>
    <m/>
    <m/>
    <m/>
    <m/>
    <m/>
    <n v="13"/>
    <n v="29.798743867999999"/>
    <n v="15.866576104"/>
    <n v="50.956759542999997"/>
    <m/>
    <m/>
    <m/>
    <m/>
    <m/>
    <m/>
    <m/>
    <m/>
    <m/>
    <m/>
    <m/>
    <m/>
    <m/>
    <m/>
    <m/>
    <m/>
    <m/>
    <m/>
    <m/>
    <m/>
    <m/>
    <m/>
    <m/>
    <m/>
    <m/>
    <m/>
    <m/>
    <m/>
    <m/>
    <m/>
    <m/>
    <m/>
    <m/>
    <m/>
    <n v="5863"/>
    <n v="11.8"/>
    <n v="10.6"/>
    <n v="13.1"/>
    <n v="7254"/>
    <n v="14.6"/>
    <n v="13.1"/>
    <n v="16.100000000000001"/>
    <n v="3627"/>
    <n v="7.3"/>
    <n v="6.7"/>
    <n v="7.9"/>
    <n v="8"/>
    <n v="19.2"/>
    <n v="4550"/>
    <n v="9.3000000000000007"/>
    <n v="897.68335604000004"/>
    <n v="1.8801226407"/>
    <n v="28"/>
    <n v="18.854203140999999"/>
    <n v="12.528481061999999"/>
    <n v="27.249573048999999"/>
    <m/>
    <m/>
    <m/>
    <m/>
    <m/>
    <m/>
    <m/>
    <m/>
    <m/>
    <m/>
    <m/>
    <m/>
    <m/>
    <m/>
    <m/>
    <n v="42"/>
    <n v="12.213243227"/>
    <n v="8.8022314561999995"/>
    <n v="16.508756830999999"/>
    <m/>
    <m/>
    <m/>
    <m/>
    <m/>
    <m/>
    <m/>
    <m/>
    <m/>
    <m/>
    <m/>
    <m/>
    <m/>
    <m/>
    <m/>
    <n v="17061"/>
    <n v="34.338495496999997"/>
    <n v="32.633641281999999"/>
    <n v="35.892605357000001"/>
    <n v="2045"/>
    <n v="6.7843280363999998"/>
    <n v="5.7119876107999996"/>
    <n v="7.8566684619"/>
    <n v="172"/>
    <n v="1.5449564358000001"/>
    <n v="1.0683606911000001"/>
    <n v="2.0215521805000001"/>
    <n v="116.73543000000001"/>
    <s v="857:1"/>
    <n v="567"/>
    <n v="81.141975309000003"/>
    <n v="9.6673189823999994"/>
    <n v="3.3356415995000002"/>
    <n v="15.998996365"/>
    <m/>
    <m/>
    <m/>
    <m/>
    <m/>
    <m/>
    <m/>
    <m/>
    <m/>
    <m/>
    <n v="0.1053332884"/>
    <m/>
    <m/>
    <n v="47400"/>
    <n v="52486"/>
    <n v="0.90309796899999994"/>
    <n v="0.81358132760000001"/>
    <n v="0.99261461029999998"/>
    <n v="62763"/>
    <n v="53492.021277"/>
    <n v="72033.978722999993"/>
    <n v="22708"/>
    <n v="12679.234043"/>
    <n v="32736.765957"/>
    <n v="87863"/>
    <n v="79006.659574000005"/>
    <n v="96719.340425999995"/>
    <m/>
    <m/>
    <m/>
    <m/>
    <m/>
    <m/>
    <n v="65756"/>
    <n v="62324.510638"/>
    <n v="69187.489361999993"/>
    <n v="37.255375694999998"/>
    <n v="77.183017930999995"/>
    <n v="27.734651652"/>
    <n v="25.575577968000001"/>
    <n v="34"/>
    <n v="11.859086153"/>
    <m/>
    <m/>
    <m/>
    <m/>
    <m/>
    <m/>
    <m/>
    <m/>
    <m/>
    <m/>
    <m/>
    <m/>
    <m/>
    <m/>
    <m/>
    <m/>
    <m/>
    <m/>
    <n v="49"/>
    <n v="20.051203907000001"/>
    <n v="14.680001352"/>
    <n v="26.745496102000001"/>
    <n v="19.882490424"/>
    <m/>
    <m/>
    <m/>
    <m/>
    <m/>
    <m/>
    <m/>
    <m/>
    <m/>
    <m/>
    <m/>
    <m/>
    <m/>
    <m/>
    <m/>
    <n v="29"/>
    <n v="11.76718821"/>
    <n v="7.8806706232000003"/>
    <n v="16.899645133"/>
    <m/>
    <m/>
    <m/>
    <m/>
    <m/>
    <m/>
    <m/>
    <m/>
    <m/>
    <m/>
    <m/>
    <m/>
    <m/>
    <m/>
    <m/>
    <m/>
    <n v="129"/>
    <n v="4900"/>
    <n v="26.326530611999999"/>
    <n v="91.601023975999993"/>
    <n v="14762"/>
    <n v="77.511157784000005"/>
    <n v="75.299366657999997"/>
    <n v="79.72294891"/>
    <n v="2541"/>
    <n v="13.709938491000001"/>
    <n v="11.404132157999999"/>
    <n v="16.015744824999999"/>
    <n v="82.257810449000004"/>
    <n v="15666"/>
    <n v="79.634328737999994"/>
    <n v="84.881292160000001"/>
    <n v="49685"/>
    <n v="10886"/>
    <n v="21.910033209000002"/>
    <n v="8501"/>
    <n v="17.109791688000001"/>
    <n v="347"/>
    <n v="0.69839991950000002"/>
    <n v="503"/>
    <n v="1.0123779813"/>
    <n v="458"/>
    <n v="0.92180738650000005"/>
    <n v="16"/>
    <n v="3.2202878099999999E-2"/>
    <n v="889"/>
    <n v="1.7892724162"/>
    <n v="46357"/>
    <n v="93.301801347999998"/>
    <n v="153"/>
    <n v="0.32968453710000001"/>
    <n v="4.1664858200000002E-2"/>
    <n v="0.61770421610000004"/>
    <n v="50.248565966000001"/>
    <n v="34241"/>
    <n v="71.714908054999995"/>
  </r>
  <r>
    <n v="50"/>
    <s v="Vermont"/>
    <s v="VT"/>
    <n v="50013"/>
    <x v="6"/>
    <n v="50013"/>
    <s v="Grand Isle County, Vermont"/>
    <n v="81.769365732744006"/>
    <n v="7075"/>
    <n v="0"/>
    <n v="5322"/>
    <n v="40"/>
    <n v="2976"/>
    <n v="153"/>
    <n v="831"/>
    <n v="156"/>
    <n v="171"/>
    <n v="66"/>
    <n v="787"/>
    <n v="135"/>
    <n v="327"/>
    <n v="65"/>
    <n v="240"/>
    <n v="83"/>
    <n v="1464"/>
    <n v="44"/>
    <n v="1218"/>
    <n v="28"/>
    <n v="789"/>
    <n v="121"/>
    <n v="91"/>
    <n v="39"/>
    <n v="12"/>
    <n v="56"/>
    <n v="558"/>
    <n v="138"/>
    <n v="15"/>
    <n v="8"/>
    <n v="524"/>
    <n v="92"/>
    <n v="5"/>
    <n v="5"/>
    <n v="65"/>
    <n v="34"/>
    <n v="0"/>
    <n v="14"/>
    <n v="11.8"/>
    <n v="2.2000000000000002"/>
    <n v="4.5999999999999996"/>
    <n v="1.7"/>
    <n v="26.4"/>
    <n v="4.3"/>
    <n v="6.1"/>
    <n v="1.2"/>
    <n v="3.4"/>
    <n v="1.2"/>
    <n v="20.7"/>
    <n v="0.6"/>
    <n v="17.2"/>
    <n v="0.4"/>
    <n v="11.2"/>
    <n v="1.7"/>
    <n v="3.1"/>
    <n v="1.3"/>
    <n v="0.2"/>
    <n v="0.8"/>
    <n v="7.9"/>
    <n v="2"/>
    <n v="0.3"/>
    <n v="0.2"/>
    <n v="9.8000000000000007"/>
    <n v="1.7"/>
    <n v="0.2"/>
    <n v="0.2"/>
    <n v="2.2000000000000002"/>
    <n v="1.1000000000000001"/>
    <n v="0"/>
    <n v="0.2"/>
    <n v="0"/>
    <n v="0.92310000000000003"/>
    <n v="0"/>
    <n v="0.30769999999999997"/>
    <n v="0.23080000000000001"/>
    <n v="1.4616"/>
    <n v="0"/>
    <n v="0.3846"/>
    <n v="7.6899999999999996E-2"/>
    <n v="0"/>
    <n v="0"/>
    <n v="0.23080000000000001"/>
    <n v="0.69230000000000003"/>
    <n v="0"/>
    <n v="0.92310000000000003"/>
    <n v="0.92310000000000003"/>
    <n v="0.92310000000000003"/>
    <n v="0"/>
    <n v="0.84619999999999995"/>
    <n v="0"/>
    <n v="0"/>
    <n v="0"/>
    <n v="0.84619999999999995"/>
    <n v="0"/>
    <n v="3.9232"/>
    <n v="0"/>
    <n v="0"/>
    <n v="1"/>
    <n v="0"/>
    <n v="0"/>
    <n v="0"/>
    <n v="1"/>
    <n v="0"/>
    <n v="0"/>
    <n v="0"/>
    <n v="0"/>
    <n v="0"/>
    <n v="0"/>
    <n v="1"/>
    <n v="1"/>
    <n v="0"/>
    <n v="0"/>
    <n v="0"/>
    <n v="0"/>
    <n v="0"/>
    <n v="0"/>
    <n v="2"/>
    <n v="3886"/>
    <n v="572"/>
    <n v="108"/>
    <n v="63"/>
    <n v="28"/>
    <n v="144"/>
    <n v="0"/>
    <n v="38"/>
    <n v="11"/>
    <n v="102"/>
    <n v="82"/>
    <n v="0"/>
    <n v="14"/>
    <n v="208"/>
    <n v="88"/>
    <n v="3"/>
    <n v="3"/>
    <n v="8.1"/>
    <n v="0"/>
    <n v="0.9"/>
    <n v="0.4"/>
    <n v="2"/>
    <n v="0"/>
    <n v="0.5"/>
    <n v="0.2"/>
    <n v="1.4"/>
    <n v="1.2"/>
    <n v="0"/>
    <n v="0.3"/>
    <n v="2.9"/>
    <n v="1.3"/>
    <n v="0"/>
    <n v="0.1"/>
    <m/>
    <m/>
    <n v="80.490815904000002"/>
    <n v="78.220194332000005"/>
    <n v="82.761437475999998"/>
    <m/>
    <m/>
    <m/>
    <m/>
    <m/>
    <m/>
    <m/>
    <m/>
    <m/>
    <m/>
    <m/>
    <m/>
    <m/>
    <m/>
    <m/>
    <n v="87"/>
    <n v="256.55374726999997"/>
    <n v="198.82563026"/>
    <n v="325.81419016000001"/>
    <m/>
    <m/>
    <m/>
    <m/>
    <m/>
    <m/>
    <m/>
    <m/>
    <m/>
    <m/>
    <m/>
    <m/>
    <m/>
    <m/>
    <m/>
    <m/>
    <m/>
    <m/>
    <m/>
    <m/>
    <m/>
    <m/>
    <m/>
    <m/>
    <m/>
    <m/>
    <m/>
    <m/>
    <m/>
    <m/>
    <m/>
    <m/>
    <m/>
    <m/>
    <m/>
    <m/>
    <m/>
    <m/>
    <m/>
    <m/>
    <m/>
    <m/>
    <m/>
    <m/>
    <m/>
    <m/>
    <m/>
    <m/>
    <m/>
    <m/>
    <m/>
    <m/>
    <m/>
    <n v="738"/>
    <n v="10.3"/>
    <n v="9.1"/>
    <n v="11.5"/>
    <n v="939"/>
    <n v="13.1"/>
    <n v="11.6"/>
    <n v="14.7"/>
    <n v="487"/>
    <n v="6.8"/>
    <n v="6.2"/>
    <n v="7.4"/>
    <m/>
    <m/>
    <n v="550"/>
    <n v="7.9"/>
    <n v="31.002810619000002"/>
    <n v="0.4448035957"/>
    <m/>
    <m/>
    <m/>
    <m/>
    <m/>
    <m/>
    <m/>
    <m/>
    <m/>
    <m/>
    <m/>
    <m/>
    <m/>
    <m/>
    <m/>
    <m/>
    <m/>
    <m/>
    <m/>
    <m/>
    <m/>
    <m/>
    <m/>
    <m/>
    <m/>
    <m/>
    <m/>
    <m/>
    <m/>
    <m/>
    <m/>
    <m/>
    <m/>
    <m/>
    <m/>
    <m/>
    <m/>
    <m/>
    <n v="2219"/>
    <n v="30.958953364999999"/>
    <n v="29.179059189"/>
    <n v="32.719897013000001"/>
    <n v="277"/>
    <n v="6.3112326269999999"/>
    <n v="5.1197432653000003"/>
    <n v="7.5027219887000003"/>
    <n v="27"/>
    <n v="1.9985196151"/>
    <n v="1.2836259981"/>
    <n v="2.7134132321000002"/>
    <n v="27.89789"/>
    <s v="3585:1"/>
    <m/>
    <m/>
    <m/>
    <m/>
    <m/>
    <m/>
    <m/>
    <m/>
    <m/>
    <m/>
    <m/>
    <m/>
    <m/>
    <m/>
    <m/>
    <m/>
    <m/>
    <m/>
    <n v="46667"/>
    <n v="58675"/>
    <n v="0.79534725179999999"/>
    <n v="0.66095900190000001"/>
    <n v="0.92973550179999997"/>
    <n v="79994"/>
    <n v="69616.127659999998"/>
    <n v="90371.872340000002"/>
    <n v="41266"/>
    <n v="40856.127659999998"/>
    <n v="41675.872340000002"/>
    <m/>
    <m/>
    <m/>
    <m/>
    <m/>
    <m/>
    <n v="111250"/>
    <n v="55514.510638"/>
    <n v="166985.48936000001"/>
    <n v="83906"/>
    <n v="74853.063829999999"/>
    <n v="92958.936170000001"/>
    <n v="38.087520259000001"/>
    <m/>
    <n v="10.338095301999999"/>
    <n v="18.518888917000002"/>
    <n v="8"/>
    <n v="27.118644067999998"/>
    <m/>
    <m/>
    <m/>
    <m/>
    <m/>
    <m/>
    <m/>
    <m/>
    <m/>
    <m/>
    <m/>
    <m/>
    <m/>
    <m/>
    <m/>
    <m/>
    <m/>
    <m/>
    <m/>
    <m/>
    <m/>
    <m/>
    <m/>
    <m/>
    <m/>
    <m/>
    <m/>
    <m/>
    <m/>
    <m/>
    <m/>
    <m/>
    <m/>
    <m/>
    <m/>
    <m/>
    <m/>
    <m/>
    <m/>
    <m/>
    <m/>
    <m/>
    <m/>
    <m/>
    <m/>
    <m/>
    <m/>
    <m/>
    <m/>
    <m/>
    <m/>
    <m/>
    <m/>
    <m/>
    <m/>
    <m/>
    <m/>
    <m/>
    <n v="8"/>
    <n v="600"/>
    <n v="13.333333333000001"/>
    <n v="19.37184851"/>
    <n v="2557"/>
    <n v="85.920698924999996"/>
    <n v="83.377628035000001"/>
    <n v="88.463769815000006"/>
    <n v="448"/>
    <n v="15.295322636"/>
    <n v="10.802385286"/>
    <n v="19.788259985"/>
    <n v="87.197580645000002"/>
    <n v="2595"/>
    <n v="84.632374838000004"/>
    <n v="89.762786453000004"/>
    <n v="7169"/>
    <n v="1246"/>
    <n v="17.380387781"/>
    <n v="1594"/>
    <n v="22.234621285999999"/>
    <n v="63"/>
    <n v="0.87878365179999995"/>
    <n v="96"/>
    <n v="1.339098898"/>
    <n v="51"/>
    <n v="0.71139628960000001"/>
    <n v="4"/>
    <n v="5.5795787399999998E-2"/>
    <n v="141"/>
    <n v="1.9668015065"/>
    <n v="6622"/>
    <n v="92.369926070999995"/>
    <n v="12"/>
    <n v="0.17699115039999999"/>
    <n v="0"/>
    <n v="1.1755978621000001"/>
    <n v="49.225833450000003"/>
    <n v="6970"/>
    <n v="100"/>
  </r>
  <r>
    <n v="50"/>
    <s v="Vermont"/>
    <s v="VT"/>
    <n v="50015"/>
    <x v="7"/>
    <n v="50015"/>
    <s v="Lamoille County, Vermont"/>
    <n v="462.25322873551602"/>
    <n v="25376"/>
    <n v="0"/>
    <n v="13817"/>
    <n v="95"/>
    <n v="10770"/>
    <n v="365"/>
    <n v="4704"/>
    <n v="602"/>
    <n v="530"/>
    <n v="132"/>
    <n v="2857"/>
    <n v="359"/>
    <n v="1336"/>
    <n v="273"/>
    <n v="1462"/>
    <n v="254"/>
    <n v="4347"/>
    <n v="63"/>
    <n v="5175"/>
    <n v="0"/>
    <n v="3405"/>
    <n v="372"/>
    <n v="557"/>
    <n v="166"/>
    <n v="76"/>
    <n v="82"/>
    <n v="1464"/>
    <n v="203"/>
    <n v="236"/>
    <n v="88"/>
    <n v="1164"/>
    <n v="228"/>
    <n v="182"/>
    <n v="88"/>
    <n v="632"/>
    <n v="171"/>
    <n v="647"/>
    <n v="194"/>
    <n v="19"/>
    <n v="2.4"/>
    <n v="3.7"/>
    <n v="0.9"/>
    <n v="26.5"/>
    <n v="3.2"/>
    <n v="7.5"/>
    <n v="1.5"/>
    <n v="5.8"/>
    <n v="1"/>
    <n v="17.100000000000001"/>
    <n v="0.2"/>
    <n v="20.399999999999999"/>
    <n v="0"/>
    <n v="13.5"/>
    <n v="1.5"/>
    <n v="5.2"/>
    <n v="1.5"/>
    <n v="0.3"/>
    <n v="0.3"/>
    <n v="5.8"/>
    <n v="0.8"/>
    <n v="1.7"/>
    <n v="0.6"/>
    <n v="8.4"/>
    <n v="1.6"/>
    <n v="1.7"/>
    <n v="0.8"/>
    <n v="5.9"/>
    <n v="1.6"/>
    <n v="2.5"/>
    <n v="0.8"/>
    <n v="0.61539999999999995"/>
    <n v="0.30769999999999997"/>
    <n v="0.15379999999999999"/>
    <n v="0.76919999999999999"/>
    <n v="1"/>
    <n v="2.8460999999999999"/>
    <n v="0.76919999999999999"/>
    <n v="0.15379999999999999"/>
    <n v="0.92310000000000003"/>
    <n v="0.30769999999999997"/>
    <n v="0.61539999999999995"/>
    <n v="0.53849999999999998"/>
    <n v="2.5385"/>
    <n v="0.61539999999999995"/>
    <n v="0.3846"/>
    <n v="0.3846"/>
    <n v="0.3846"/>
    <n v="0.30769999999999997"/>
    <n v="0.61539999999999995"/>
    <n v="0.69230000000000003"/>
    <n v="0.46150000000000002"/>
    <n v="0.3846"/>
    <n v="2.4615"/>
    <n v="0.3846"/>
    <n v="8.2307000000000006"/>
    <n v="0.53849999999999998"/>
    <n v="0"/>
    <n v="0"/>
    <n v="0"/>
    <n v="0"/>
    <n v="1"/>
    <n v="1"/>
    <n v="0"/>
    <n v="1"/>
    <n v="0"/>
    <n v="0"/>
    <n v="0"/>
    <n v="1"/>
    <n v="0"/>
    <n v="0"/>
    <n v="0"/>
    <n v="0"/>
    <n v="0"/>
    <n v="0"/>
    <n v="0"/>
    <n v="0"/>
    <n v="2"/>
    <n v="25122"/>
    <n v="2794"/>
    <n v="620"/>
    <n v="230"/>
    <n v="76"/>
    <n v="481"/>
    <n v="0"/>
    <n v="66"/>
    <n v="56"/>
    <n v="155"/>
    <n v="47"/>
    <n v="0"/>
    <n v="18"/>
    <n v="530"/>
    <n v="91"/>
    <n v="2"/>
    <n v="2"/>
    <n v="11.3"/>
    <n v="0.1"/>
    <n v="0.9"/>
    <n v="0.3"/>
    <n v="1.9"/>
    <n v="0"/>
    <n v="0.3"/>
    <n v="0.2"/>
    <n v="0.6"/>
    <n v="0.2"/>
    <n v="0"/>
    <n v="0.1"/>
    <n v="2.1"/>
    <n v="0.4"/>
    <n v="0"/>
    <n v="0.1"/>
    <m/>
    <m/>
    <n v="80.361833369999999"/>
    <n v="79.264964496999994"/>
    <n v="81.458702243000005"/>
    <m/>
    <m/>
    <m/>
    <m/>
    <m/>
    <m/>
    <m/>
    <m/>
    <m/>
    <m/>
    <m/>
    <m/>
    <m/>
    <m/>
    <m/>
    <n v="276"/>
    <n v="282.92640201"/>
    <n v="247.95532724"/>
    <n v="317.89747677000003"/>
    <m/>
    <m/>
    <m/>
    <m/>
    <m/>
    <m/>
    <m/>
    <m/>
    <m/>
    <m/>
    <m/>
    <m/>
    <m/>
    <m/>
    <m/>
    <m/>
    <m/>
    <m/>
    <m/>
    <m/>
    <m/>
    <m/>
    <m/>
    <m/>
    <m/>
    <m/>
    <m/>
    <m/>
    <m/>
    <m/>
    <m/>
    <m/>
    <m/>
    <m/>
    <m/>
    <m/>
    <m/>
    <m/>
    <m/>
    <m/>
    <m/>
    <m/>
    <m/>
    <m/>
    <m/>
    <m/>
    <m/>
    <m/>
    <m/>
    <m/>
    <m/>
    <m/>
    <m/>
    <n v="2838"/>
    <n v="11.2"/>
    <n v="9.8000000000000007"/>
    <n v="12.6"/>
    <n v="3573"/>
    <n v="14.1"/>
    <n v="12.5"/>
    <n v="15.8"/>
    <n v="1799"/>
    <n v="7.1"/>
    <n v="6.5"/>
    <n v="7.8"/>
    <m/>
    <m/>
    <n v="2700"/>
    <n v="10.7"/>
    <n v="70.824184738"/>
    <n v="0.28937358419999998"/>
    <n v="13"/>
    <n v="17.104587977000001"/>
    <n v="9.1074727195000005"/>
    <n v="29.249366365"/>
    <m/>
    <m/>
    <m/>
    <m/>
    <m/>
    <m/>
    <m/>
    <m/>
    <m/>
    <m/>
    <m/>
    <m/>
    <m/>
    <m/>
    <m/>
    <n v="16"/>
    <n v="9.0400587603999991"/>
    <n v="5.1671746728999999"/>
    <n v="14.680489066"/>
    <m/>
    <m/>
    <m/>
    <m/>
    <m/>
    <m/>
    <m/>
    <m/>
    <m/>
    <m/>
    <m/>
    <m/>
    <m/>
    <m/>
    <m/>
    <n v="8144"/>
    <n v="32.138401428999998"/>
    <n v="30.34519615"/>
    <n v="33.715973761999997"/>
    <n v="1267"/>
    <n v="8.3558662534000003"/>
    <n v="6.8069300832000001"/>
    <n v="9.9048024235999996"/>
    <n v="136"/>
    <n v="2.5924513915"/>
    <n v="1.6392599022000001"/>
    <n v="3.5456428809"/>
    <n v="110.49288000000001"/>
    <s v="905:1"/>
    <n v="262"/>
    <n v="92.385496183000001"/>
    <m/>
    <m/>
    <m/>
    <m/>
    <m/>
    <m/>
    <m/>
    <m/>
    <m/>
    <m/>
    <m/>
    <m/>
    <m/>
    <n v="8.31438751E-2"/>
    <m/>
    <m/>
    <n v="42309"/>
    <n v="45292"/>
    <n v="0.93413847920000004"/>
    <n v="0.8268976441"/>
    <n v="1.0413793143000001"/>
    <n v="57909"/>
    <n v="49444.659573999998"/>
    <n v="66373.340425999995"/>
    <m/>
    <m/>
    <m/>
    <m/>
    <m/>
    <m/>
    <m/>
    <m/>
    <m/>
    <n v="44484"/>
    <n v="11376.085106"/>
    <n v="77591.914894000001"/>
    <n v="64543"/>
    <n v="59511.340426000002"/>
    <n v="69574.659574000005"/>
    <n v="35.260586318999998"/>
    <m/>
    <n v="27.440540574"/>
    <n v="28.435994404999999"/>
    <n v="28"/>
    <n v="22.064617809000001"/>
    <m/>
    <m/>
    <m/>
    <m/>
    <m/>
    <m/>
    <m/>
    <m/>
    <m/>
    <m/>
    <m/>
    <m/>
    <m/>
    <m/>
    <m/>
    <m/>
    <m/>
    <m/>
    <n v="22"/>
    <n v="15.073256323000001"/>
    <n v="9.3305832357000007"/>
    <n v="23.041073452999999"/>
    <n v="17.367552674999999"/>
    <m/>
    <m/>
    <m/>
    <m/>
    <m/>
    <m/>
    <m/>
    <m/>
    <m/>
    <m/>
    <m/>
    <m/>
    <m/>
    <m/>
    <m/>
    <n v="14"/>
    <n v="11.052078975000001"/>
    <n v="6.0422744202000001"/>
    <n v="18.543510552000001"/>
    <m/>
    <m/>
    <m/>
    <m/>
    <m/>
    <m/>
    <m/>
    <m/>
    <m/>
    <m/>
    <m/>
    <m/>
    <m/>
    <m/>
    <m/>
    <m/>
    <n v="33"/>
    <n v="2400"/>
    <n v="13.75"/>
    <n v="0"/>
    <n v="7761"/>
    <n v="72.061281336999997"/>
    <n v="69.856471522999996"/>
    <n v="74.266091150999998"/>
    <n v="1583"/>
    <n v="15.440889583000001"/>
    <n v="11.888910129999999"/>
    <n v="18.992869034999998"/>
    <n v="85.348189414999993"/>
    <n v="9192"/>
    <n v="82.298104504999998"/>
    <n v="88.398274325000003"/>
    <n v="25341"/>
    <n v="5049"/>
    <n v="19.924233456"/>
    <n v="4639"/>
    <n v="18.306302039999998"/>
    <n v="261"/>
    <n v="1.0299514621000001"/>
    <n v="91"/>
    <n v="0.35910185080000001"/>
    <n v="171"/>
    <n v="0.67479578549999997"/>
    <n v="18"/>
    <n v="7.1031135300000006E-2"/>
    <n v="503"/>
    <n v="1.9849256146000001"/>
    <n v="23902"/>
    <n v="94.321455349000004"/>
    <n v="76"/>
    <n v="0.31526112750000002"/>
    <n v="0"/>
    <n v="0.72129865790000003"/>
    <n v="49.962511345000003"/>
    <n v="24475"/>
    <n v="100"/>
  </r>
  <r>
    <n v="50"/>
    <s v="Vermont"/>
    <s v="VT"/>
    <n v="50017"/>
    <x v="8"/>
    <n v="50017"/>
    <s v="Orange County, Vermont"/>
    <n v="687.19087437635005"/>
    <n v="28873"/>
    <n v="0"/>
    <n v="15516"/>
    <n v="93"/>
    <n v="12670"/>
    <n v="262"/>
    <n v="5126"/>
    <n v="551"/>
    <n v="609"/>
    <n v="144"/>
    <n v="3501"/>
    <n v="287"/>
    <n v="1557"/>
    <n v="231"/>
    <n v="1298"/>
    <n v="222"/>
    <n v="6085"/>
    <n v="35"/>
    <n v="5313"/>
    <n v="59"/>
    <n v="4400"/>
    <n v="374"/>
    <n v="548"/>
    <n v="106"/>
    <n v="25"/>
    <n v="65"/>
    <n v="1377"/>
    <n v="160"/>
    <n v="189"/>
    <n v="51"/>
    <n v="1576"/>
    <n v="173"/>
    <n v="291"/>
    <n v="70"/>
    <n v="514"/>
    <n v="109"/>
    <n v="659"/>
    <n v="186"/>
    <n v="18.100000000000001"/>
    <n v="1.9"/>
    <n v="3.8"/>
    <n v="0.9"/>
    <n v="27.6"/>
    <n v="2.2000000000000002"/>
    <n v="7.3"/>
    <n v="1.1000000000000001"/>
    <n v="4.5"/>
    <n v="0.8"/>
    <n v="21.1"/>
    <n v="0.1"/>
    <n v="18.399999999999999"/>
    <n v="0.2"/>
    <n v="15.3"/>
    <n v="1.3"/>
    <n v="4.3"/>
    <n v="0.8"/>
    <n v="0.1"/>
    <n v="0.2"/>
    <n v="4.8"/>
    <n v="0.6"/>
    <n v="1.2"/>
    <n v="0.3"/>
    <n v="10.199999999999999"/>
    <n v="1.1000000000000001"/>
    <n v="2.2999999999999998"/>
    <n v="0.6"/>
    <n v="4.0999999999999996"/>
    <n v="0.8"/>
    <n v="2.2999999999999998"/>
    <n v="0.6"/>
    <n v="0.3846"/>
    <n v="0.3846"/>
    <n v="0.30769999999999997"/>
    <n v="0.61539999999999995"/>
    <n v="0.53849999999999998"/>
    <n v="2.2307999999999999"/>
    <n v="0.46150000000000002"/>
    <n v="0.53849999999999998"/>
    <n v="0.53849999999999998"/>
    <n v="0.46150000000000002"/>
    <n v="0.30769999999999997"/>
    <n v="0"/>
    <n v="1.8462000000000001"/>
    <n v="0.30769999999999997"/>
    <n v="0"/>
    <n v="0"/>
    <n v="0"/>
    <n v="0.15379999999999999"/>
    <n v="1"/>
    <n v="0.84619999999999995"/>
    <n v="7.6899999999999996E-2"/>
    <n v="0.30769999999999997"/>
    <n v="2.3845999999999998"/>
    <n v="0.30769999999999997"/>
    <n v="6.4615999999999998"/>
    <n v="7.6899999999999996E-2"/>
    <n v="0"/>
    <n v="0"/>
    <n v="0"/>
    <n v="0"/>
    <n v="0"/>
    <n v="0"/>
    <n v="0"/>
    <n v="0"/>
    <n v="0"/>
    <n v="0"/>
    <n v="0"/>
    <n v="0"/>
    <n v="0"/>
    <n v="0"/>
    <n v="0"/>
    <n v="1"/>
    <n v="0"/>
    <n v="0"/>
    <n v="0"/>
    <n v="1"/>
    <n v="1"/>
    <n v="21206"/>
    <n v="4128"/>
    <n v="460"/>
    <n v="121"/>
    <n v="37"/>
    <n v="398"/>
    <n v="0"/>
    <n v="102"/>
    <n v="37"/>
    <n v="79"/>
    <n v="53"/>
    <n v="23"/>
    <n v="32"/>
    <n v="593"/>
    <n v="117"/>
    <n v="61"/>
    <n v="61"/>
    <n v="14.6"/>
    <n v="0.1"/>
    <n v="0.4"/>
    <n v="0.1"/>
    <n v="1.4"/>
    <n v="0"/>
    <n v="0.4"/>
    <n v="0.1"/>
    <n v="0.3"/>
    <n v="0.2"/>
    <n v="0.1"/>
    <n v="0.1"/>
    <n v="2.1"/>
    <n v="0.4"/>
    <n v="0.2"/>
    <n v="0.2"/>
    <m/>
    <m/>
    <n v="79.822668046999993"/>
    <n v="78.816244764999993"/>
    <n v="80.829091328999993"/>
    <m/>
    <m/>
    <m/>
    <m/>
    <m/>
    <m/>
    <m/>
    <m/>
    <m/>
    <m/>
    <m/>
    <m/>
    <m/>
    <m/>
    <m/>
    <n v="383"/>
    <n v="294.84556170000002"/>
    <n v="262.32241550999998"/>
    <n v="327.36870789"/>
    <m/>
    <m/>
    <m/>
    <m/>
    <m/>
    <m/>
    <m/>
    <m/>
    <m/>
    <m/>
    <m/>
    <m/>
    <m/>
    <m/>
    <m/>
    <n v="10"/>
    <n v="47.26791454"/>
    <n v="22.666802307000001"/>
    <n v="86.927377774999997"/>
    <m/>
    <m/>
    <m/>
    <m/>
    <m/>
    <m/>
    <m/>
    <m/>
    <m/>
    <m/>
    <m/>
    <m/>
    <m/>
    <m/>
    <m/>
    <m/>
    <m/>
    <m/>
    <m/>
    <m/>
    <m/>
    <m/>
    <m/>
    <m/>
    <m/>
    <m/>
    <m/>
    <m/>
    <m/>
    <m/>
    <m/>
    <m/>
    <m/>
    <m/>
    <n v="3316"/>
    <n v="11.5"/>
    <n v="10.3"/>
    <n v="12.9"/>
    <n v="4210"/>
    <n v="14.6"/>
    <n v="13.1"/>
    <n v="16.2"/>
    <n v="2134"/>
    <n v="7.4"/>
    <n v="6.8"/>
    <n v="8.1"/>
    <n v="5"/>
    <n v="19.8"/>
    <n v="2900"/>
    <n v="10"/>
    <n v="1004.3149991"/>
    <n v="3.4708148987"/>
    <n v="15"/>
    <n v="17.295452448999999"/>
    <n v="9.6801334434000008"/>
    <n v="28.526218605"/>
    <m/>
    <m/>
    <m/>
    <m/>
    <m/>
    <m/>
    <m/>
    <m/>
    <m/>
    <m/>
    <m/>
    <m/>
    <m/>
    <m/>
    <m/>
    <n v="19"/>
    <n v="9.3883258638000004"/>
    <n v="5.6523854572000003"/>
    <n v="14.661033788999999"/>
    <m/>
    <m/>
    <m/>
    <m/>
    <m/>
    <m/>
    <m/>
    <m/>
    <m/>
    <m/>
    <m/>
    <m/>
    <m/>
    <m/>
    <m/>
    <n v="9656"/>
    <n v="33.483467597000001"/>
    <n v="31.711171428"/>
    <n v="35.295267029999998"/>
    <n v="1271"/>
    <n v="7.5407890834"/>
    <n v="6.2301507855000002"/>
    <n v="8.8514273812000006"/>
    <n v="111"/>
    <n v="2.0837244228"/>
    <n v="1.3688308057"/>
    <n v="2.7986180398"/>
    <n v="100.56525000000001"/>
    <s v="994:1"/>
    <n v="140"/>
    <n v="88.142857143000001"/>
    <m/>
    <m/>
    <m/>
    <m/>
    <m/>
    <m/>
    <m/>
    <m/>
    <m/>
    <m/>
    <m/>
    <m/>
    <m/>
    <n v="7.6356212300000004E-2"/>
    <m/>
    <m/>
    <n v="44707"/>
    <n v="46127"/>
    <n v="0.96921542699999996"/>
    <n v="0.86536184540000005"/>
    <n v="1.0730690085000001"/>
    <n v="60624"/>
    <n v="52967.489362"/>
    <n v="68280.510638000007"/>
    <n v="60667"/>
    <n v="20979.680851000001"/>
    <n v="100354.31915"/>
    <n v="21463"/>
    <n v="20989.978723"/>
    <n v="21936.021277"/>
    <n v="61827"/>
    <n v="15762.829787000001"/>
    <n v="107891.17021"/>
    <n v="28125"/>
    <n v="10851.978723"/>
    <n v="45398.021277"/>
    <n v="63493"/>
    <n v="59948.319149000003"/>
    <n v="67037.680850999997"/>
    <n v="43.209555958999999"/>
    <m/>
    <n v="9.5900472222000008"/>
    <n v="26.814462919"/>
    <n v="34"/>
    <n v="25.430067314999999"/>
    <m/>
    <m/>
    <m/>
    <m/>
    <m/>
    <m/>
    <m/>
    <m/>
    <m/>
    <m/>
    <m/>
    <m/>
    <m/>
    <m/>
    <m/>
    <m/>
    <m/>
    <m/>
    <n v="33"/>
    <n v="21.170305827"/>
    <n v="14.178086068000001"/>
    <n v="30.404090548999999"/>
    <n v="22.818262908000001"/>
    <m/>
    <m/>
    <m/>
    <m/>
    <m/>
    <m/>
    <m/>
    <m/>
    <m/>
    <m/>
    <m/>
    <m/>
    <m/>
    <m/>
    <m/>
    <n v="28"/>
    <n v="19.360950345999999"/>
    <n v="12.865210899999999"/>
    <n v="27.981963853"/>
    <m/>
    <m/>
    <m/>
    <m/>
    <m/>
    <m/>
    <m/>
    <m/>
    <m/>
    <m/>
    <m/>
    <m/>
    <m/>
    <m/>
    <m/>
    <m/>
    <n v="39"/>
    <n v="2400"/>
    <n v="16.25"/>
    <n v="14.810066727000001"/>
    <n v="10219"/>
    <n v="80.655090766000001"/>
    <n v="79.000132679999993"/>
    <n v="82.310048851999994"/>
    <n v="1659"/>
    <n v="13.389830507999999"/>
    <n v="11.15560889"/>
    <n v="15.624052127000001"/>
    <n v="81.365430149999995"/>
    <n v="10309"/>
    <n v="79.516508305000002"/>
    <n v="83.214351995000001"/>
    <n v="28837"/>
    <n v="5192"/>
    <n v="18.004646808"/>
    <n v="6545"/>
    <n v="22.696535700999998"/>
    <n v="184"/>
    <n v="0.63806914729999997"/>
    <n v="113"/>
    <n v="0.3918576828"/>
    <n v="164"/>
    <n v="0.56871380520000003"/>
    <n v="5"/>
    <n v="1.73388355E-2"/>
    <n v="407"/>
    <n v="1.4113812116"/>
    <n v="27583"/>
    <n v="95.651420051000002"/>
    <n v="25"/>
    <n v="9.0790238199999998E-2"/>
    <n v="0"/>
    <n v="0.37561886280000001"/>
    <n v="50.053750389999998"/>
    <n v="28137"/>
    <n v="97.238733757000006"/>
  </r>
  <r>
    <n v="50"/>
    <s v="Vermont"/>
    <s v="VT"/>
    <n v="50019"/>
    <x v="9"/>
    <n v="50019"/>
    <s v="Orleans County, Vermont"/>
    <n v="694.51411155105995"/>
    <n v="26843"/>
    <n v="3"/>
    <n v="17726"/>
    <n v="96"/>
    <n v="11678"/>
    <n v="373"/>
    <n v="5755"/>
    <n v="528"/>
    <n v="572"/>
    <n v="112"/>
    <n v="3480"/>
    <n v="278"/>
    <n v="2069"/>
    <n v="213"/>
    <n v="834"/>
    <n v="163"/>
    <n v="6132"/>
    <n v="37"/>
    <n v="5281"/>
    <n v="22"/>
    <n v="4363"/>
    <n v="365"/>
    <n v="533"/>
    <n v="120"/>
    <n v="61"/>
    <n v="69"/>
    <n v="1408"/>
    <n v="182"/>
    <n v="275"/>
    <n v="68"/>
    <n v="1648"/>
    <n v="178"/>
    <n v="185"/>
    <n v="64"/>
    <n v="771"/>
    <n v="171"/>
    <n v="949"/>
    <n v="188"/>
    <n v="22.2"/>
    <n v="2"/>
    <n v="4.2"/>
    <n v="0.8"/>
    <n v="29.8"/>
    <n v="2.2000000000000002"/>
    <n v="10.5"/>
    <n v="1.1000000000000001"/>
    <n v="3.2"/>
    <n v="0.6"/>
    <n v="22.8"/>
    <n v="0.1"/>
    <n v="19.7"/>
    <n v="0.1"/>
    <n v="16.7"/>
    <n v="1.4"/>
    <n v="4.5999999999999996"/>
    <n v="1"/>
    <n v="0.2"/>
    <n v="0.3"/>
    <n v="5.2"/>
    <n v="0.7"/>
    <n v="1.6"/>
    <n v="0.4"/>
    <n v="9.3000000000000007"/>
    <n v="1"/>
    <n v="1.6"/>
    <n v="0.5"/>
    <n v="6.6"/>
    <n v="1.4"/>
    <n v="3.5"/>
    <n v="0.7"/>
    <n v="0.84619999999999995"/>
    <n v="0.69230000000000003"/>
    <n v="0.23080000000000001"/>
    <n v="0.92310000000000003"/>
    <n v="0"/>
    <n v="2.6924000000000001"/>
    <n v="0.69230000000000003"/>
    <n v="0.84619999999999995"/>
    <n v="0.84619999999999995"/>
    <n v="0.69230000000000003"/>
    <n v="0.46150000000000002"/>
    <n v="0.23080000000000001"/>
    <n v="3.077"/>
    <n v="0.84619999999999995"/>
    <n v="0.15379999999999999"/>
    <n v="0.15379999999999999"/>
    <n v="0.15379999999999999"/>
    <n v="0.23080000000000001"/>
    <n v="0.76919999999999999"/>
    <n v="0.61539999999999995"/>
    <n v="0.53849999999999998"/>
    <n v="0.46150000000000002"/>
    <n v="2.6154000000000002"/>
    <n v="0.53849999999999998"/>
    <n v="8.5386000000000006"/>
    <n v="0.69230000000000003"/>
    <n v="0"/>
    <n v="0"/>
    <n v="0"/>
    <n v="1"/>
    <n v="0"/>
    <n v="1"/>
    <n v="0"/>
    <n v="0"/>
    <n v="0"/>
    <n v="0"/>
    <n v="0"/>
    <n v="0"/>
    <n v="0"/>
    <n v="0"/>
    <n v="0"/>
    <n v="0"/>
    <n v="0"/>
    <n v="0"/>
    <n v="0"/>
    <n v="0"/>
    <n v="1"/>
    <n v="25943"/>
    <n v="3593"/>
    <n v="403"/>
    <n v="197"/>
    <n v="47"/>
    <n v="407"/>
    <n v="4"/>
    <n v="51"/>
    <n v="33"/>
    <n v="143"/>
    <n v="63"/>
    <n v="7"/>
    <n v="12"/>
    <n v="582"/>
    <n v="96"/>
    <n v="21"/>
    <n v="21"/>
    <n v="13.9"/>
    <n v="0.1"/>
    <n v="0.7"/>
    <n v="0.2"/>
    <n v="1.5"/>
    <n v="0.1"/>
    <n v="0.2"/>
    <n v="0.1"/>
    <n v="0.5"/>
    <n v="0.2"/>
    <n v="0"/>
    <n v="0.1"/>
    <n v="2.2000000000000002"/>
    <n v="0.4"/>
    <n v="0.1"/>
    <n v="0.1"/>
    <m/>
    <m/>
    <n v="77.941830522999993"/>
    <n v="76.829432382999997"/>
    <n v="79.054228663999993"/>
    <m/>
    <m/>
    <m/>
    <m/>
    <m/>
    <m/>
    <m/>
    <m/>
    <m/>
    <m/>
    <m/>
    <m/>
    <m/>
    <m/>
    <m/>
    <n v="450"/>
    <n v="393.03136088000002"/>
    <n v="353.01655789"/>
    <n v="433.04616386999999"/>
    <m/>
    <m/>
    <m/>
    <m/>
    <m/>
    <m/>
    <m/>
    <m/>
    <m/>
    <m/>
    <m/>
    <m/>
    <m/>
    <m/>
    <m/>
    <m/>
    <m/>
    <m/>
    <m/>
    <m/>
    <m/>
    <m/>
    <m/>
    <m/>
    <m/>
    <m/>
    <m/>
    <m/>
    <m/>
    <m/>
    <m/>
    <m/>
    <m/>
    <m/>
    <m/>
    <m/>
    <m/>
    <m/>
    <m/>
    <m/>
    <m/>
    <m/>
    <m/>
    <m/>
    <m/>
    <m/>
    <m/>
    <m/>
    <m/>
    <m/>
    <m/>
    <m/>
    <m/>
    <n v="3416"/>
    <n v="12.7"/>
    <n v="11.4"/>
    <n v="14"/>
    <n v="4196"/>
    <n v="15.6"/>
    <n v="14"/>
    <n v="17.100000000000001"/>
    <n v="2367"/>
    <n v="8.8000000000000007"/>
    <n v="8.1"/>
    <n v="9.5"/>
    <n v="8"/>
    <n v="34.200000000000003"/>
    <n v="3330"/>
    <n v="12.4"/>
    <n v="1089.2829068999999"/>
    <n v="4.0001575664000004"/>
    <n v="17"/>
    <n v="21.028933338000002"/>
    <n v="12.250128610000001"/>
    <n v="33.669359378999999"/>
    <m/>
    <m/>
    <m/>
    <m/>
    <m/>
    <m/>
    <m/>
    <m/>
    <m/>
    <m/>
    <m/>
    <m/>
    <m/>
    <m/>
    <m/>
    <n v="28"/>
    <n v="14.836244946000001"/>
    <n v="9.8585770218000004"/>
    <n v="21.442504752000001"/>
    <m/>
    <m/>
    <m/>
    <m/>
    <m/>
    <m/>
    <m/>
    <m/>
    <m/>
    <m/>
    <m/>
    <m/>
    <m/>
    <m/>
    <m/>
    <n v="9719"/>
    <n v="36.133307039000002"/>
    <n v="34.474030517000003"/>
    <n v="37.701100300999997"/>
    <n v="1225"/>
    <n v="8.1595950176999992"/>
    <n v="6.8489567198000003"/>
    <n v="9.4702333154999998"/>
    <n v="122"/>
    <n v="2.2971191865999998"/>
    <n v="1.4630766334"/>
    <n v="3.1311617398"/>
    <n v="63.204069999999994"/>
    <s v="1582:1"/>
    <n v="284"/>
    <n v="80.616197182999997"/>
    <m/>
    <m/>
    <m/>
    <m/>
    <m/>
    <m/>
    <m/>
    <m/>
    <m/>
    <m/>
    <m/>
    <m/>
    <m/>
    <n v="5.4659723100000002E-2"/>
    <m/>
    <m/>
    <n v="37872"/>
    <n v="46558"/>
    <n v="0.81343700330000002"/>
    <n v="0.72052431790000004"/>
    <n v="0.90634968869999999"/>
    <n v="56721"/>
    <n v="49625.680850999997"/>
    <n v="63816.319149000003"/>
    <n v="66310"/>
    <n v="42425.404255000001"/>
    <n v="90194.595744999999"/>
    <m/>
    <m/>
    <m/>
    <n v="30625"/>
    <n v="12141.425531999999"/>
    <n v="49108.574467999999"/>
    <m/>
    <m/>
    <m/>
    <n v="55101"/>
    <n v="52261.680850999997"/>
    <n v="57940.319149000003"/>
    <n v="54.543153631999999"/>
    <m/>
    <n v="33.241506688000001"/>
    <n v="30.371467358"/>
    <n v="26"/>
    <n v="19.984627209999999"/>
    <m/>
    <m/>
    <m/>
    <m/>
    <m/>
    <m/>
    <m/>
    <m/>
    <m/>
    <m/>
    <m/>
    <m/>
    <m/>
    <m/>
    <m/>
    <m/>
    <m/>
    <m/>
    <n v="25"/>
    <n v="17.399800414000001"/>
    <n v="10.904362282999999"/>
    <n v="26.343506931"/>
    <n v="18.581143855000001"/>
    <m/>
    <m/>
    <m/>
    <m/>
    <m/>
    <m/>
    <m/>
    <m/>
    <m/>
    <m/>
    <m/>
    <m/>
    <m/>
    <m/>
    <m/>
    <n v="21"/>
    <n v="15.608160838"/>
    <n v="9.6616975615000005"/>
    <n v="23.858731826"/>
    <m/>
    <m/>
    <m/>
    <m/>
    <m/>
    <m/>
    <m/>
    <m/>
    <m/>
    <m/>
    <m/>
    <m/>
    <m/>
    <m/>
    <m/>
    <m/>
    <n v="45"/>
    <n v="2500"/>
    <n v="18"/>
    <n v="32.083101133"/>
    <n v="9109"/>
    <n v="78.001370097999995"/>
    <n v="75.803727727999998"/>
    <n v="80.199012467000003"/>
    <n v="1804"/>
    <n v="16.064113979999998"/>
    <n v="13.81410773"/>
    <n v="18.314120231"/>
    <n v="81.358109264999996"/>
    <n v="9501"/>
    <n v="79.478635436000005"/>
    <n v="83.237583094000001"/>
    <n v="26897"/>
    <n v="5204"/>
    <n v="19.347882663"/>
    <n v="6351"/>
    <n v="23.612298768999999"/>
    <n v="201"/>
    <n v="0.74729523740000003"/>
    <n v="160"/>
    <n v="0.5948618805"/>
    <n v="139"/>
    <n v="0.51678625869999995"/>
    <n v="9"/>
    <n v="3.3460980799999998E-2"/>
    <n v="413"/>
    <n v="1.5354872290999999"/>
    <n v="25512"/>
    <n v="94.850726847000004"/>
    <n v="61"/>
    <n v="0.23882233180000001"/>
    <n v="0"/>
    <n v="0.5606950409"/>
    <n v="50.072498791999998"/>
    <n v="23227"/>
    <n v="85.296169805999995"/>
  </r>
  <r>
    <n v="50"/>
    <s v="Vermont"/>
    <s v="VT"/>
    <n v="50021"/>
    <x v="10"/>
    <n v="50021"/>
    <s v="Rutland County, Vermont"/>
    <n v="929.72222637710195"/>
    <n v="58527"/>
    <n v="0"/>
    <n v="34552"/>
    <n v="157"/>
    <n v="25349"/>
    <n v="435"/>
    <n v="10349"/>
    <n v="879"/>
    <n v="1065"/>
    <n v="229"/>
    <n v="7720"/>
    <n v="545"/>
    <n v="2683"/>
    <n v="368"/>
    <n v="2644"/>
    <n v="369"/>
    <n v="12893"/>
    <n v="64"/>
    <n v="10351"/>
    <n v="59"/>
    <n v="8953"/>
    <n v="621"/>
    <n v="1072"/>
    <n v="204"/>
    <n v="131"/>
    <n v="101"/>
    <n v="3095"/>
    <n v="296"/>
    <n v="2540"/>
    <n v="241"/>
    <n v="2015"/>
    <n v="253"/>
    <n v="1067"/>
    <n v="241"/>
    <n v="1922"/>
    <n v="300"/>
    <n v="2206"/>
    <n v="305"/>
    <n v="18.3"/>
    <n v="1.6"/>
    <n v="3.5"/>
    <n v="0.8"/>
    <n v="30.5"/>
    <n v="2.1"/>
    <n v="6.3"/>
    <n v="0.9"/>
    <n v="4.5999999999999996"/>
    <n v="0.6"/>
    <n v="22"/>
    <n v="0.1"/>
    <n v="17.7"/>
    <n v="0.1"/>
    <n v="15.4"/>
    <n v="1.1000000000000001"/>
    <n v="4.2"/>
    <n v="0.8"/>
    <n v="0.2"/>
    <n v="0.2"/>
    <n v="5.3"/>
    <n v="0.5"/>
    <n v="7.4"/>
    <n v="0.7"/>
    <n v="5.8"/>
    <n v="0.7"/>
    <n v="4.2"/>
    <n v="0.9"/>
    <n v="7.6"/>
    <n v="1.2"/>
    <n v="3.8"/>
    <n v="0.5"/>
    <n v="0.53849999999999998"/>
    <n v="0.15379999999999999"/>
    <n v="0.92310000000000003"/>
    <n v="0.46150000000000002"/>
    <n v="0.61539999999999995"/>
    <n v="2.6922999999999999"/>
    <n v="0.61539999999999995"/>
    <n v="0.61539999999999995"/>
    <n v="0.23080000000000001"/>
    <n v="0.53849999999999998"/>
    <n v="0.15379999999999999"/>
    <n v="0.23080000000000001"/>
    <n v="1.7693000000000001"/>
    <n v="0.23080000000000001"/>
    <n v="0.23080000000000001"/>
    <n v="0.23080000000000001"/>
    <n v="0.23080000000000001"/>
    <n v="0.92310000000000003"/>
    <n v="0.30769999999999997"/>
    <n v="1"/>
    <n v="0.76919999999999999"/>
    <n v="0.61539999999999995"/>
    <n v="3.6154000000000002"/>
    <n v="1"/>
    <n v="8.3078000000000003"/>
    <n v="0.61539999999999995"/>
    <n v="0"/>
    <n v="0"/>
    <n v="1"/>
    <n v="0"/>
    <n v="0"/>
    <n v="1"/>
    <n v="0"/>
    <n v="0"/>
    <n v="0"/>
    <n v="0"/>
    <n v="0"/>
    <n v="0"/>
    <n v="0"/>
    <n v="0"/>
    <n v="1"/>
    <n v="0"/>
    <n v="1"/>
    <n v="0"/>
    <n v="0"/>
    <n v="2"/>
    <n v="3"/>
    <n v="57448"/>
    <n v="8099"/>
    <n v="983"/>
    <n v="397"/>
    <n v="99"/>
    <n v="903"/>
    <n v="0"/>
    <n v="491"/>
    <n v="74"/>
    <n v="68"/>
    <n v="63"/>
    <n v="0"/>
    <n v="23"/>
    <n v="1203"/>
    <n v="257"/>
    <n v="33"/>
    <n v="33"/>
    <n v="14.4"/>
    <n v="0.1"/>
    <n v="0.7"/>
    <n v="0.2"/>
    <n v="1.5"/>
    <n v="0"/>
    <n v="0.8"/>
    <n v="0.1"/>
    <n v="0.1"/>
    <n v="0.1"/>
    <n v="0"/>
    <n v="0.1"/>
    <n v="2.1"/>
    <n v="0.4"/>
    <n v="0.1"/>
    <n v="0.1"/>
    <m/>
    <m/>
    <n v="77.218169615999997"/>
    <n v="76.482140154000007"/>
    <n v="77.954199078000002"/>
    <m/>
    <m/>
    <m/>
    <m/>
    <m/>
    <m/>
    <m/>
    <m/>
    <m/>
    <m/>
    <m/>
    <m/>
    <m/>
    <m/>
    <m/>
    <n v="953"/>
    <n v="390.46469473000002"/>
    <n v="362.65837871999997"/>
    <n v="418.27101073"/>
    <m/>
    <m/>
    <m/>
    <m/>
    <m/>
    <m/>
    <m/>
    <m/>
    <m/>
    <m/>
    <m/>
    <m/>
    <m/>
    <m/>
    <m/>
    <n v="19"/>
    <n v="46.095247337000004"/>
    <n v="27.752350043"/>
    <n v="71.983438637000006"/>
    <m/>
    <m/>
    <m/>
    <m/>
    <m/>
    <m/>
    <m/>
    <m/>
    <m/>
    <m/>
    <m/>
    <m/>
    <m/>
    <m/>
    <m/>
    <m/>
    <m/>
    <m/>
    <m/>
    <m/>
    <m/>
    <m/>
    <m/>
    <m/>
    <m/>
    <m/>
    <m/>
    <m/>
    <m/>
    <m/>
    <m/>
    <m/>
    <m/>
    <m/>
    <n v="6527"/>
    <n v="11.3"/>
    <n v="10"/>
    <n v="12.6"/>
    <n v="8780"/>
    <n v="15.2"/>
    <n v="13.5"/>
    <n v="16.8"/>
    <n v="4275"/>
    <n v="7.4"/>
    <n v="6.7"/>
    <n v="8.1"/>
    <n v="16"/>
    <n v="31.3"/>
    <n v="6330"/>
    <n v="10.7"/>
    <n v="3029.5257517999999"/>
    <n v="4.9147103464999997"/>
    <n v="61"/>
    <n v="34.931597060999998"/>
    <n v="26.719903887000001"/>
    <n v="44.871097777000003"/>
    <m/>
    <m/>
    <m/>
    <m/>
    <m/>
    <m/>
    <m/>
    <m/>
    <m/>
    <m/>
    <m/>
    <m/>
    <m/>
    <m/>
    <m/>
    <n v="37"/>
    <n v="8.9621796021000009"/>
    <n v="6.3102015199999997"/>
    <n v="12.35318403"/>
    <m/>
    <m/>
    <m/>
    <m/>
    <m/>
    <m/>
    <m/>
    <m/>
    <m/>
    <m/>
    <m/>
    <m/>
    <m/>
    <m/>
    <m/>
    <n v="18455"/>
    <n v="31.949441629999999"/>
    <n v="30.202693320000002"/>
    <n v="33.557891261999998"/>
    <n v="2232"/>
    <n v="6.7348601429999997"/>
    <n v="5.6625197175000004"/>
    <n v="7.8072005685999999"/>
    <n v="167"/>
    <n v="1.5894165793999999"/>
    <n v="1.1128208346999999"/>
    <n v="2.0660123240999999"/>
    <n v="138.49456000000001"/>
    <s v="722:1"/>
    <n v="508"/>
    <n v="84.146653542999999"/>
    <n v="9.1370558376000002"/>
    <n v="4.2741150099"/>
    <n v="13.999996664999999"/>
    <m/>
    <m/>
    <m/>
    <m/>
    <m/>
    <m/>
    <m/>
    <m/>
    <m/>
    <m/>
    <n v="9.9794348699999993E-2"/>
    <m/>
    <m/>
    <n v="41412"/>
    <n v="46935"/>
    <n v="0.8823266219"/>
    <n v="0.81503280379999998"/>
    <n v="0.94962044000000001"/>
    <n v="62289"/>
    <n v="57279.978723"/>
    <n v="67298.021277000007"/>
    <m/>
    <m/>
    <m/>
    <m/>
    <m/>
    <m/>
    <n v="76071"/>
    <n v="75550.319149000003"/>
    <n v="76591.680850999997"/>
    <n v="35513"/>
    <n v="26813.936170000001"/>
    <n v="44212.063829999999"/>
    <n v="57602"/>
    <n v="54591.106382999998"/>
    <n v="60612.893617000002"/>
    <n v="41.110667198999998"/>
    <n v="78.298191610999993"/>
    <n v="37.531540329000002"/>
    <n v="27.311403297999998"/>
    <n v="70"/>
    <n v="27.354435326000001"/>
    <n v="2.9066528438999999"/>
    <n v="1.5019099395"/>
    <n v="5.0773375660999998"/>
    <m/>
    <m/>
    <m/>
    <m/>
    <m/>
    <m/>
    <m/>
    <m/>
    <m/>
    <m/>
    <m/>
    <m/>
    <m/>
    <m/>
    <m/>
    <n v="64"/>
    <n v="22.030608195999999"/>
    <n v="16.596469070000001"/>
    <n v="28.675864764"/>
    <n v="21.841214372"/>
    <m/>
    <m/>
    <m/>
    <m/>
    <m/>
    <m/>
    <m/>
    <m/>
    <m/>
    <m/>
    <m/>
    <m/>
    <m/>
    <m/>
    <m/>
    <n v="46"/>
    <n v="15.69837283"/>
    <n v="11.493181927"/>
    <n v="20.939429436000001"/>
    <m/>
    <m/>
    <m/>
    <m/>
    <m/>
    <m/>
    <m/>
    <m/>
    <m/>
    <m/>
    <m/>
    <m/>
    <m/>
    <m/>
    <m/>
    <m/>
    <n v="108"/>
    <n v="4800"/>
    <n v="22.5"/>
    <n v="153.08853189999999"/>
    <n v="18126"/>
    <n v="71.505779321000006"/>
    <n v="70.123912649000005"/>
    <n v="72.887645992000003"/>
    <n v="3634"/>
    <n v="14.671565263"/>
    <n v="12.831312736999999"/>
    <n v="16.511817788999998"/>
    <n v="81.245808513"/>
    <n v="20595"/>
    <n v="79.485094382"/>
    <n v="83.006522644"/>
    <n v="57764"/>
    <n v="10024"/>
    <n v="17.353368880000001"/>
    <n v="13626"/>
    <n v="23.589086628"/>
    <n v="424"/>
    <n v="0.73402118969999997"/>
    <n v="166"/>
    <n v="0.2873762205"/>
    <n v="509"/>
    <n v="0.88117166400000002"/>
    <n v="15"/>
    <n v="2.5967730800000002E-2"/>
    <n v="975"/>
    <n v="1.6879024998000001"/>
    <n v="54907"/>
    <n v="95.054012880000002"/>
    <n v="131"/>
    <n v="0.23406232129999999"/>
    <n v="1.7397600400000001E-2"/>
    <n v="0.45072704229999999"/>
    <n v="50.467419153999998"/>
    <n v="37610"/>
    <n v="61.013594627000003"/>
  </r>
  <r>
    <n v="50"/>
    <s v="Vermont"/>
    <s v="VT"/>
    <n v="50023"/>
    <x v="11"/>
    <n v="50023"/>
    <s v="Washington County, Vermont"/>
    <n v="686.57792509608601"/>
    <n v="58336"/>
    <n v="0"/>
    <n v="30894"/>
    <n v="194"/>
    <n v="25310"/>
    <n v="367"/>
    <n v="10177"/>
    <n v="852"/>
    <n v="1029"/>
    <n v="216"/>
    <n v="6700"/>
    <n v="543"/>
    <n v="2414"/>
    <n v="317"/>
    <n v="1927"/>
    <n v="310"/>
    <n v="11406"/>
    <n v="96"/>
    <n v="10926"/>
    <n v="0"/>
    <n v="7602"/>
    <n v="627"/>
    <n v="1776"/>
    <n v="260"/>
    <n v="108"/>
    <n v="97"/>
    <n v="3672"/>
    <n v="269"/>
    <n v="1675"/>
    <n v="303"/>
    <n v="1675"/>
    <n v="225"/>
    <n v="211"/>
    <n v="87"/>
    <n v="2033"/>
    <n v="300"/>
    <n v="2378"/>
    <n v="435"/>
    <n v="18.2"/>
    <n v="1.5"/>
    <n v="3.2"/>
    <n v="0.7"/>
    <n v="26.5"/>
    <n v="2.1"/>
    <n v="5.8"/>
    <n v="0.8"/>
    <n v="3.3"/>
    <n v="0.5"/>
    <n v="19.600000000000001"/>
    <n v="0.2"/>
    <n v="18.7"/>
    <n v="0"/>
    <n v="13.2"/>
    <n v="1.1000000000000001"/>
    <n v="7"/>
    <n v="1"/>
    <n v="0.2"/>
    <n v="0.2"/>
    <n v="6.3"/>
    <n v="0.5"/>
    <n v="5.4"/>
    <n v="1"/>
    <n v="5.4"/>
    <n v="0.7"/>
    <n v="0.8"/>
    <n v="0.3"/>
    <n v="8"/>
    <n v="1.2"/>
    <n v="4.0999999999999996"/>
    <n v="0.7"/>
    <n v="0.46150000000000002"/>
    <n v="7.6899999999999996E-2"/>
    <n v="0.76919999999999999"/>
    <n v="0.15379999999999999"/>
    <n v="0.15379999999999999"/>
    <n v="1.6152"/>
    <n v="0.15379999999999999"/>
    <n v="0.23080000000000001"/>
    <n v="0.61539999999999995"/>
    <n v="0.23080000000000001"/>
    <n v="1"/>
    <n v="0.23080000000000001"/>
    <n v="2.3077999999999999"/>
    <n v="0.46150000000000002"/>
    <n v="0.53849999999999998"/>
    <n v="0.53849999999999998"/>
    <n v="0.53849999999999998"/>
    <n v="0.84619999999999995"/>
    <n v="0.15379999999999999"/>
    <n v="7.6899999999999996E-2"/>
    <n v="0.84619999999999995"/>
    <n v="0.69230000000000003"/>
    <n v="2.6154000000000002"/>
    <n v="0.53849999999999998"/>
    <n v="7.0769000000000002"/>
    <n v="0.15379999999999999"/>
    <n v="0"/>
    <n v="0"/>
    <n v="0"/>
    <n v="0"/>
    <n v="0"/>
    <n v="0"/>
    <n v="0"/>
    <n v="0"/>
    <n v="0"/>
    <n v="1"/>
    <n v="0"/>
    <n v="1"/>
    <n v="0"/>
    <n v="0"/>
    <n v="0"/>
    <n v="0"/>
    <n v="0"/>
    <n v="0"/>
    <n v="0"/>
    <n v="0"/>
    <n v="1"/>
    <n v="61037"/>
    <n v="6573"/>
    <n v="912"/>
    <n v="446"/>
    <n v="99"/>
    <n v="1147"/>
    <n v="0"/>
    <n v="545"/>
    <n v="104"/>
    <n v="80"/>
    <n v="58"/>
    <n v="42"/>
    <n v="34"/>
    <n v="1274"/>
    <n v="186"/>
    <n v="138"/>
    <n v="138"/>
    <n v="11.7"/>
    <n v="0.1"/>
    <n v="0.8"/>
    <n v="0.2"/>
    <n v="2"/>
    <n v="0"/>
    <n v="0.9"/>
    <n v="0.2"/>
    <n v="0.1"/>
    <n v="0.1"/>
    <n v="0.1"/>
    <n v="0.1"/>
    <n v="2.2000000000000002"/>
    <n v="0.3"/>
    <n v="0.2"/>
    <n v="0.2"/>
    <m/>
    <m/>
    <n v="79.751549917999995"/>
    <n v="79.020334614999996"/>
    <n v="80.482765220999994"/>
    <m/>
    <m/>
    <m/>
    <m/>
    <m/>
    <m/>
    <m/>
    <m/>
    <m/>
    <m/>
    <m/>
    <m/>
    <m/>
    <m/>
    <m/>
    <n v="669"/>
    <n v="293.94243807999999"/>
    <n v="269.93689045000002"/>
    <n v="317.9479857"/>
    <m/>
    <m/>
    <m/>
    <m/>
    <m/>
    <m/>
    <m/>
    <m/>
    <m/>
    <m/>
    <m/>
    <m/>
    <m/>
    <m/>
    <m/>
    <n v="14"/>
    <n v="32.252862442000001"/>
    <n v="17.632940024"/>
    <n v="54.114822775"/>
    <m/>
    <m/>
    <m/>
    <m/>
    <m/>
    <m/>
    <m/>
    <m/>
    <m/>
    <m/>
    <m/>
    <m/>
    <m/>
    <m/>
    <m/>
    <m/>
    <m/>
    <m/>
    <m/>
    <m/>
    <m/>
    <m/>
    <m/>
    <m/>
    <m/>
    <m/>
    <m/>
    <m/>
    <m/>
    <m/>
    <m/>
    <m/>
    <m/>
    <m/>
    <n v="6299"/>
    <n v="10.8"/>
    <n v="9.5"/>
    <n v="12.2"/>
    <n v="7933"/>
    <n v="13.6"/>
    <n v="12.1"/>
    <n v="15.3"/>
    <n v="4141"/>
    <n v="7.1"/>
    <n v="6.5"/>
    <n v="7.8"/>
    <n v="13"/>
    <n v="25.5"/>
    <n v="5970"/>
    <n v="10.199999999999999"/>
    <n v="3531.2072254"/>
    <n v="5.9314126808000003"/>
    <n v="49"/>
    <n v="28.019693841999999"/>
    <n v="20.729123755"/>
    <n v="37.043521214000002"/>
    <m/>
    <m/>
    <m/>
    <m/>
    <m/>
    <m/>
    <m/>
    <m/>
    <m/>
    <m/>
    <m/>
    <m/>
    <m/>
    <m/>
    <m/>
    <n v="40"/>
    <n v="9.7732364805999996"/>
    <n v="6.9821434275999996"/>
    <n v="13.308374189"/>
    <m/>
    <m/>
    <m/>
    <m/>
    <m/>
    <m/>
    <m/>
    <m/>
    <m/>
    <m/>
    <m/>
    <m/>
    <m/>
    <m/>
    <m/>
    <n v="16826"/>
    <n v="28.847067804000002"/>
    <n v="27.082489971000001"/>
    <n v="30.663312824999998"/>
    <n v="2138"/>
    <n v="6.3502435546999996"/>
    <n v="5.3970520652999996"/>
    <n v="7.3034350441000004"/>
    <n v="189"/>
    <n v="1.701629603"/>
    <n v="1.1058849221"/>
    <n v="2.2973742838"/>
    <n v="133.72651000000002"/>
    <s v="748:1"/>
    <n v="450"/>
    <n v="83.533333333000002"/>
    <n v="4.8351648351999996"/>
    <n v="1.9234269822000001"/>
    <n v="7.7469026880999996"/>
    <m/>
    <m/>
    <m/>
    <m/>
    <m/>
    <m/>
    <m/>
    <m/>
    <m/>
    <m/>
    <n v="6.0271872400000003E-2"/>
    <m/>
    <m/>
    <n v="49787"/>
    <n v="52246"/>
    <n v="0.95293419589999995"/>
    <n v="0.88600398719999995"/>
    <n v="1.0198644047000001"/>
    <n v="70061"/>
    <n v="62067.297872000003"/>
    <n v="78054.702128000004"/>
    <n v="70750"/>
    <n v="41839.702127999997"/>
    <n v="99660.297871999996"/>
    <n v="62056"/>
    <n v="26104"/>
    <n v="98008"/>
    <m/>
    <m/>
    <m/>
    <n v="48958"/>
    <n v="15078"/>
    <n v="82838"/>
    <n v="65798"/>
    <n v="63375.702127999997"/>
    <n v="68220.297871999996"/>
    <n v="27.386097049"/>
    <n v="67.554887999000002"/>
    <n v="27.456340254000001"/>
    <n v="23.964830648"/>
    <n v="66"/>
    <n v="24.498886414000001"/>
    <n v="2.9319709442000002"/>
    <n v="1.5149921713000001"/>
    <n v="5.1215631921"/>
    <m/>
    <m/>
    <m/>
    <m/>
    <m/>
    <m/>
    <m/>
    <m/>
    <m/>
    <m/>
    <m/>
    <m/>
    <m/>
    <m/>
    <m/>
    <n v="45"/>
    <n v="15.155342939000001"/>
    <n v="10.875735751000001"/>
    <n v="20.559933981"/>
    <n v="15.428342207"/>
    <m/>
    <m/>
    <m/>
    <m/>
    <m/>
    <m/>
    <m/>
    <m/>
    <m/>
    <m/>
    <m/>
    <m/>
    <m/>
    <m/>
    <m/>
    <n v="39"/>
    <n v="13.371229913000001"/>
    <n v="9.5082515881000003"/>
    <n v="18.278911467"/>
    <m/>
    <m/>
    <m/>
    <m/>
    <m/>
    <m/>
    <m/>
    <m/>
    <m/>
    <m/>
    <m/>
    <m/>
    <m/>
    <m/>
    <m/>
    <m/>
    <n v="88"/>
    <n v="5100"/>
    <n v="17.254901961000002"/>
    <n v="146.89122202999999"/>
    <n v="17793"/>
    <n v="70.300276570999998"/>
    <n v="68.350297096999995"/>
    <n v="72.250256043999997"/>
    <n v="2925"/>
    <n v="11.811500564999999"/>
    <n v="10.053200172"/>
    <n v="13.569800959"/>
    <n v="85.598577637000005"/>
    <n v="21665"/>
    <n v="84.029632527000004"/>
    <n v="87.167522747999996"/>
    <n v="58328"/>
    <n v="10583"/>
    <n v="18.143944589"/>
    <n v="12167"/>
    <n v="20.859621450999999"/>
    <n v="520"/>
    <n v="0.89151008089999995"/>
    <n v="202"/>
    <n v="0.34631737759999998"/>
    <n v="555"/>
    <n v="0.95151556709999996"/>
    <n v="23"/>
    <n v="3.9432176700000002E-2"/>
    <n v="1237"/>
    <n v="2.1207653271"/>
    <n v="54736"/>
    <n v="93.841722672000003"/>
    <n v="108"/>
    <n v="0.19409798349999999"/>
    <n v="0"/>
    <n v="0.40257987820000002"/>
    <n v="50.320600741"/>
    <n v="31437"/>
    <n v="52.805119763"/>
  </r>
  <r>
    <n v="50"/>
    <s v="Vermont"/>
    <s v="VT"/>
    <n v="50025"/>
    <x v="12"/>
    <n v="50025"/>
    <s v="Windham County, Vermont"/>
    <n v="785.46521411890205"/>
    <n v="42628"/>
    <n v="0"/>
    <n v="30778"/>
    <n v="134"/>
    <n v="19162"/>
    <n v="432"/>
    <n v="9574"/>
    <n v="790"/>
    <n v="1005"/>
    <n v="213"/>
    <n v="6222"/>
    <n v="517"/>
    <n v="1984"/>
    <n v="308"/>
    <n v="2244"/>
    <n v="391"/>
    <n v="9677"/>
    <n v="73"/>
    <n v="7630"/>
    <n v="0"/>
    <n v="7196"/>
    <n v="528"/>
    <n v="1131"/>
    <n v="169"/>
    <n v="119"/>
    <n v="112"/>
    <n v="3184"/>
    <n v="251"/>
    <n v="1398"/>
    <n v="194"/>
    <n v="1690"/>
    <n v="254"/>
    <n v="178"/>
    <n v="64"/>
    <n v="1291"/>
    <n v="209"/>
    <n v="1826"/>
    <n v="265"/>
    <n v="23.4"/>
    <n v="1.9"/>
    <n v="4.4000000000000004"/>
    <n v="0.9"/>
    <n v="32.5"/>
    <n v="2.6"/>
    <n v="6.2"/>
    <n v="1"/>
    <n v="5.3"/>
    <n v="0.9"/>
    <n v="22.7"/>
    <n v="0.2"/>
    <n v="17.899999999999999"/>
    <n v="0"/>
    <n v="17.100000000000001"/>
    <n v="1.3"/>
    <n v="5.9"/>
    <n v="0.9"/>
    <n v="0.3"/>
    <n v="0.3"/>
    <n v="7.5"/>
    <n v="0.6"/>
    <n v="4.5"/>
    <n v="0.6"/>
    <n v="5.5"/>
    <n v="0.8"/>
    <n v="0.9"/>
    <n v="0.3"/>
    <n v="6.7"/>
    <n v="1.1000000000000001"/>
    <n v="4.3"/>
    <n v="0.6"/>
    <n v="0.92310000000000003"/>
    <n v="0.76919999999999999"/>
    <n v="0.69230000000000003"/>
    <n v="0.3846"/>
    <n v="0.84619999999999995"/>
    <n v="3.6154000000000002"/>
    <n v="0.92310000000000003"/>
    <n v="0.76919999999999999"/>
    <n v="0.3846"/>
    <n v="0.84619999999999995"/>
    <n v="0.92310000000000003"/>
    <n v="0.53849999999999998"/>
    <n v="3.4615999999999998"/>
    <n v="1"/>
    <n v="0.76919999999999999"/>
    <n v="0.76919999999999999"/>
    <n v="0.76919999999999999"/>
    <n v="0.76919999999999999"/>
    <n v="0.23080000000000001"/>
    <n v="0.15379999999999999"/>
    <n v="0.61539999999999995"/>
    <n v="0.84619999999999995"/>
    <n v="2.6154000000000002"/>
    <n v="0.53849999999999998"/>
    <n v="10.461600000000001"/>
    <n v="1"/>
    <n v="1"/>
    <n v="0"/>
    <n v="0"/>
    <n v="0"/>
    <n v="0"/>
    <n v="1"/>
    <n v="0"/>
    <n v="0"/>
    <n v="0"/>
    <n v="1"/>
    <n v="0"/>
    <n v="1"/>
    <n v="0"/>
    <n v="0"/>
    <n v="0"/>
    <n v="0"/>
    <n v="0"/>
    <n v="0"/>
    <n v="0"/>
    <n v="0"/>
    <n v="2"/>
    <n v="42937"/>
    <n v="11424"/>
    <n v="1144"/>
    <n v="459"/>
    <n v="125"/>
    <n v="1027"/>
    <n v="0"/>
    <n v="516"/>
    <n v="67"/>
    <n v="88"/>
    <n v="54"/>
    <n v="12"/>
    <n v="21"/>
    <n v="1024"/>
    <n v="171"/>
    <n v="58"/>
    <n v="58"/>
    <n v="28"/>
    <n v="0.2"/>
    <n v="1.1000000000000001"/>
    <n v="0.3"/>
    <n v="2.4"/>
    <n v="0"/>
    <n v="1.2"/>
    <n v="0.2"/>
    <n v="0.2"/>
    <n v="0.1"/>
    <n v="0"/>
    <n v="0.1"/>
    <n v="2.4"/>
    <n v="0.4"/>
    <n v="0.1"/>
    <n v="0.2"/>
    <m/>
    <m/>
    <n v="78.815940025000003"/>
    <n v="77.826787694000004"/>
    <n v="79.805092356000003"/>
    <m/>
    <m/>
    <m/>
    <m/>
    <m/>
    <m/>
    <m/>
    <m/>
    <m/>
    <m/>
    <m/>
    <m/>
    <m/>
    <m/>
    <m/>
    <n v="614"/>
    <n v="356.72105800000003"/>
    <n v="324.72686941000001"/>
    <n v="388.71524658999999"/>
    <m/>
    <m/>
    <m/>
    <m/>
    <m/>
    <m/>
    <m/>
    <m/>
    <m/>
    <m/>
    <m/>
    <m/>
    <m/>
    <m/>
    <m/>
    <n v="16"/>
    <n v="52.973116144000002"/>
    <n v="30.278712931000001"/>
    <n v="86.025021843000005"/>
    <m/>
    <m/>
    <m/>
    <m/>
    <m/>
    <m/>
    <m/>
    <m/>
    <m/>
    <m/>
    <m/>
    <m/>
    <m/>
    <m/>
    <m/>
    <m/>
    <m/>
    <m/>
    <m/>
    <m/>
    <m/>
    <m/>
    <m/>
    <m/>
    <m/>
    <m/>
    <m/>
    <m/>
    <m/>
    <m/>
    <m/>
    <m/>
    <m/>
    <m/>
    <n v="4832"/>
    <n v="11.5"/>
    <n v="10.199999999999999"/>
    <n v="12.9"/>
    <n v="6176"/>
    <n v="14.7"/>
    <n v="13.2"/>
    <n v="16.3"/>
    <n v="2899"/>
    <n v="6.9"/>
    <n v="6.3"/>
    <n v="7.6"/>
    <n v="14"/>
    <n v="37.799999999999997"/>
    <n v="5280"/>
    <n v="12.3"/>
    <n v="1644.6617940000001"/>
    <n v="3.6947898232999998"/>
    <n v="64"/>
    <n v="50.396478545999997"/>
    <n v="38.811429406999999"/>
    <n v="64.355178008999999"/>
    <m/>
    <m/>
    <m/>
    <m/>
    <m/>
    <m/>
    <m/>
    <m/>
    <m/>
    <m/>
    <m/>
    <m/>
    <m/>
    <m/>
    <m/>
    <n v="33"/>
    <n v="10.996078065000001"/>
    <n v="7.5691941783000001"/>
    <n v="15.442581902000001"/>
    <m/>
    <m/>
    <m/>
    <m/>
    <m/>
    <m/>
    <m/>
    <m/>
    <m/>
    <m/>
    <m/>
    <m/>
    <m/>
    <m/>
    <m/>
    <n v="12618"/>
    <n v="30.031064468"/>
    <n v="28.236458785"/>
    <n v="31.675143923"/>
    <n v="1798"/>
    <n v="7.4882345592000004"/>
    <n v="6.1775962612999997"/>
    <n v="8.7988728569999992"/>
    <n v="144"/>
    <n v="1.9344438474000001"/>
    <n v="1.2195502304000001"/>
    <n v="2.6493374643999998"/>
    <n v="130.90563"/>
    <s v="764:1"/>
    <n v="370"/>
    <n v="81.675675675999997"/>
    <n v="6.3829787233999999"/>
    <n v="2.1273844519999998"/>
    <n v="10.638572995000001"/>
    <m/>
    <m/>
    <m/>
    <m/>
    <m/>
    <m/>
    <m/>
    <m/>
    <m/>
    <m/>
    <n v="6.8198437299999998E-2"/>
    <m/>
    <m/>
    <n v="42454"/>
    <n v="49636"/>
    <n v="0.85530663230000004"/>
    <n v="0.75862518590000005"/>
    <n v="0.95198807860000001"/>
    <n v="59017"/>
    <n v="51997.936170000001"/>
    <n v="66036.063829999999"/>
    <n v="11250"/>
    <n v="1390.4255318999999"/>
    <n v="21109.574467999999"/>
    <m/>
    <m/>
    <m/>
    <m/>
    <m/>
    <m/>
    <n v="56250"/>
    <n v="24564.723404"/>
    <n v="87935.276595999996"/>
    <n v="54616"/>
    <n v="51593.191488999997"/>
    <n v="57638.808511000003"/>
    <n v="39.278520417999999"/>
    <n v="74.109571474999996"/>
    <n v="28.656887025"/>
    <n v="36.657234355999996"/>
    <n v="54"/>
    <n v="28.008298754999998"/>
    <n v="3.6653593552000001"/>
    <n v="1.8297341839000001"/>
    <n v="6.5583403630000001"/>
    <m/>
    <m/>
    <m/>
    <m/>
    <m/>
    <m/>
    <m/>
    <m/>
    <m/>
    <m/>
    <m/>
    <m/>
    <m/>
    <m/>
    <m/>
    <n v="57"/>
    <n v="27.523864764999999"/>
    <n v="20.428742944"/>
    <n v="36.286784382"/>
    <n v="26.759683954"/>
    <m/>
    <m/>
    <m/>
    <m/>
    <m/>
    <m/>
    <m/>
    <m/>
    <m/>
    <m/>
    <m/>
    <m/>
    <m/>
    <m/>
    <m/>
    <n v="24"/>
    <n v="11.267235349"/>
    <n v="7.2191302889999998"/>
    <n v="16.764753079999998"/>
    <m/>
    <m/>
    <m/>
    <m/>
    <m/>
    <m/>
    <m/>
    <m/>
    <m/>
    <m/>
    <m/>
    <m/>
    <m/>
    <m/>
    <m/>
    <m/>
    <n v="63"/>
    <n v="3500"/>
    <n v="18"/>
    <n v="139.38566410000001"/>
    <n v="12974"/>
    <n v="67.706919945999999"/>
    <n v="65.806858198"/>
    <n v="69.606981692999994"/>
    <n v="2978"/>
    <n v="16.03920935"/>
    <n v="13.667779007"/>
    <n v="18.410639693"/>
    <n v="69.773510071999993"/>
    <n v="13370"/>
    <n v="66.772691700999999"/>
    <n v="72.774328443000002"/>
    <n v="42015"/>
    <n v="7391"/>
    <n v="17.591336427000002"/>
    <n v="10327"/>
    <n v="24.579316910999999"/>
    <n v="603"/>
    <n v="1.4352017136999999"/>
    <n v="125"/>
    <n v="0.29751279310000001"/>
    <n v="530"/>
    <n v="1.2614542424999999"/>
    <n v="23"/>
    <n v="5.4742353899999999E-2"/>
    <n v="1057"/>
    <n v="2.5157681780000001"/>
    <n v="38877"/>
    <n v="92.531238842999997"/>
    <n v="119"/>
    <n v="0.29238329239999999"/>
    <n v="0"/>
    <n v="0.62127921720000001"/>
    <n v="50.974651909999999"/>
    <n v="30378"/>
    <n v="68.24523173"/>
  </r>
  <r>
    <n v="50"/>
    <s v="Vermont"/>
    <s v="VT"/>
    <n v="50027"/>
    <x v="13"/>
    <n v="50027"/>
    <s v="Windsor County, Vermont"/>
    <n v="969.78309691964398"/>
    <n v="55191"/>
    <n v="0"/>
    <n v="35016"/>
    <n v="95"/>
    <n v="24629"/>
    <n v="442"/>
    <n v="9179"/>
    <n v="912"/>
    <n v="1090"/>
    <n v="279"/>
    <n v="6833"/>
    <n v="520"/>
    <n v="2211"/>
    <n v="361"/>
    <n v="2495"/>
    <n v="393"/>
    <n v="12888"/>
    <n v="76"/>
    <n v="9994"/>
    <n v="37"/>
    <n v="8169"/>
    <n v="624"/>
    <n v="1040"/>
    <n v="197"/>
    <n v="150"/>
    <n v="111"/>
    <n v="3045"/>
    <n v="243"/>
    <n v="1556"/>
    <n v="258"/>
    <n v="2268"/>
    <n v="317"/>
    <n v="350"/>
    <n v="116"/>
    <n v="1253"/>
    <n v="276"/>
    <n v="826"/>
    <n v="182"/>
    <n v="16.899999999999999"/>
    <n v="1.7"/>
    <n v="3.8"/>
    <n v="1"/>
    <n v="27.7"/>
    <n v="2.1"/>
    <n v="5.3"/>
    <n v="0.9"/>
    <n v="4.5999999999999996"/>
    <n v="0.7"/>
    <n v="23.4"/>
    <n v="0.1"/>
    <n v="18.100000000000001"/>
    <n v="0.1"/>
    <n v="15"/>
    <n v="1.1000000000000001"/>
    <n v="4.2"/>
    <n v="0.8"/>
    <n v="0.3"/>
    <n v="0.2"/>
    <n v="5.5"/>
    <n v="0.4"/>
    <n v="4.4000000000000004"/>
    <n v="0.7"/>
    <n v="6.5"/>
    <n v="0.9"/>
    <n v="1.4"/>
    <n v="0.5"/>
    <n v="5.0999999999999996"/>
    <n v="1.1000000000000001"/>
    <n v="1.5"/>
    <n v="0.3"/>
    <n v="0.23080000000000001"/>
    <n v="0.3846"/>
    <n v="0.84619999999999995"/>
    <n v="7.6899999999999996E-2"/>
    <n v="0.61539999999999995"/>
    <n v="2.1539000000000001"/>
    <n v="0.3846"/>
    <n v="0.92310000000000003"/>
    <n v="0.46150000000000002"/>
    <n v="0.3846"/>
    <n v="0.15379999999999999"/>
    <n v="0.53849999999999998"/>
    <n v="2.4615"/>
    <n v="0.53849999999999998"/>
    <n v="0.30769999999999997"/>
    <n v="0.30769999999999997"/>
    <n v="0.30769999999999997"/>
    <n v="0.69230000000000003"/>
    <n v="0.3846"/>
    <n v="0.53849999999999998"/>
    <n v="0.30769999999999997"/>
    <n v="0.23080000000000001"/>
    <n v="2.1539000000000001"/>
    <n v="0.23080000000000001"/>
    <n v="7.077"/>
    <n v="0.23080000000000001"/>
    <n v="0"/>
    <n v="0"/>
    <n v="0"/>
    <n v="0"/>
    <n v="0"/>
    <n v="0"/>
    <n v="1"/>
    <n v="0"/>
    <n v="0"/>
    <n v="0"/>
    <n v="0"/>
    <n v="1"/>
    <n v="0"/>
    <n v="0"/>
    <n v="0"/>
    <n v="0"/>
    <n v="0"/>
    <n v="0"/>
    <n v="0"/>
    <n v="0"/>
    <n v="1"/>
    <n v="49905"/>
    <n v="6234"/>
    <n v="723"/>
    <n v="367"/>
    <n v="92"/>
    <n v="996"/>
    <n v="0"/>
    <n v="539"/>
    <n v="94"/>
    <n v="100"/>
    <n v="50"/>
    <n v="0"/>
    <n v="23"/>
    <n v="976"/>
    <n v="170"/>
    <n v="67"/>
    <n v="67"/>
    <n v="11.5"/>
    <n v="0"/>
    <n v="0.7"/>
    <n v="0.2"/>
    <n v="1.8"/>
    <n v="0"/>
    <n v="1"/>
    <n v="0.2"/>
    <n v="0.2"/>
    <n v="0.1"/>
    <n v="0"/>
    <n v="0.1"/>
    <n v="1.8"/>
    <n v="0.3"/>
    <n v="0.1"/>
    <n v="0.1"/>
    <m/>
    <m/>
    <n v="79.137073708000003"/>
    <n v="78.332494800999996"/>
    <n v="79.941652614000006"/>
    <m/>
    <m/>
    <m/>
    <m/>
    <m/>
    <m/>
    <m/>
    <m/>
    <m/>
    <m/>
    <m/>
    <m/>
    <m/>
    <m/>
    <m/>
    <n v="768"/>
    <n v="335.84921441"/>
    <n v="309.13638272999998"/>
    <n v="362.56204609999998"/>
    <m/>
    <m/>
    <m/>
    <m/>
    <m/>
    <m/>
    <m/>
    <m/>
    <m/>
    <m/>
    <m/>
    <m/>
    <m/>
    <m/>
    <m/>
    <n v="12"/>
    <n v="30.299204646"/>
    <n v="15.656041178000001"/>
    <n v="52.926612923"/>
    <m/>
    <m/>
    <m/>
    <m/>
    <m/>
    <m/>
    <m/>
    <m/>
    <m/>
    <m/>
    <m/>
    <m/>
    <m/>
    <m/>
    <m/>
    <m/>
    <m/>
    <m/>
    <m/>
    <m/>
    <m/>
    <m/>
    <m/>
    <m/>
    <m/>
    <m/>
    <m/>
    <m/>
    <m/>
    <m/>
    <m/>
    <m/>
    <m/>
    <m/>
    <n v="6049"/>
    <n v="11"/>
    <n v="9.6999999999999993"/>
    <n v="12.3"/>
    <n v="7643"/>
    <n v="13.9"/>
    <n v="12.3"/>
    <n v="15.5"/>
    <n v="3849"/>
    <n v="7"/>
    <n v="6.4"/>
    <n v="7.7"/>
    <n v="17"/>
    <n v="35.200000000000003"/>
    <n v="5470"/>
    <n v="9.9"/>
    <n v="655.55700645000002"/>
    <n v="1.1567972585999999"/>
    <n v="70"/>
    <n v="42.338026806000002"/>
    <n v="33.004568943000002"/>
    <n v="53.491549833000001"/>
    <m/>
    <m/>
    <m/>
    <m/>
    <m/>
    <m/>
    <m/>
    <m/>
    <m/>
    <m/>
    <m/>
    <m/>
    <m/>
    <m/>
    <m/>
    <n v="41"/>
    <n v="10.575650724999999"/>
    <n v="7.5892695497"/>
    <n v="14.347064371"/>
    <m/>
    <m/>
    <m/>
    <m/>
    <m/>
    <m/>
    <m/>
    <m/>
    <m/>
    <m/>
    <m/>
    <m/>
    <m/>
    <m/>
    <m/>
    <n v="17819"/>
    <n v="32.404384952000001"/>
    <n v="30.464427606000001"/>
    <n v="34.284482896999997"/>
    <n v="2448"/>
    <n v="7.7544426493999996"/>
    <n v="6.5629532877000001"/>
    <n v="8.9459320111"/>
    <n v="218"/>
    <n v="2.1503255079999999"/>
    <n v="1.4354318909999999"/>
    <n v="2.8652191249999999"/>
    <n v="154.57918000000001"/>
    <s v="647:1"/>
    <n v="433"/>
    <n v="82.378752887000005"/>
    <m/>
    <m/>
    <m/>
    <m/>
    <m/>
    <m/>
    <m/>
    <m/>
    <m/>
    <m/>
    <m/>
    <m/>
    <m/>
    <n v="8.4891696700000005E-2"/>
    <m/>
    <m/>
    <n v="44777"/>
    <n v="53057"/>
    <n v="0.84394142149999996"/>
    <n v="0.79790993750000005"/>
    <n v="0.88997290549999997"/>
    <n v="60842"/>
    <n v="53503.617020999998"/>
    <n v="68180.382979000002"/>
    <n v="57734"/>
    <n v="8487.3617020999991"/>
    <n v="106980.63830000001"/>
    <n v="64183"/>
    <n v="28895.851063999999"/>
    <n v="99470.148935999998"/>
    <m/>
    <m/>
    <m/>
    <n v="59643"/>
    <n v="21327.085105999999"/>
    <n v="97958.914894000001"/>
    <n v="61363"/>
    <n v="57948.191488999997"/>
    <n v="64777.808511000003"/>
    <n v="36.240090600000002"/>
    <n v="59.582872190000003"/>
    <n v="25.408361391"/>
    <n v="29.379376089000001"/>
    <n v="65"/>
    <n v="27.038269550999999"/>
    <m/>
    <m/>
    <m/>
    <m/>
    <m/>
    <m/>
    <m/>
    <m/>
    <m/>
    <m/>
    <m/>
    <m/>
    <m/>
    <m/>
    <m/>
    <m/>
    <m/>
    <m/>
    <n v="60"/>
    <n v="21.441428127999998"/>
    <n v="16.013484085999998"/>
    <n v="28.117580348000001"/>
    <n v="21.744487771999999"/>
    <m/>
    <m/>
    <m/>
    <m/>
    <m/>
    <m/>
    <m/>
    <m/>
    <m/>
    <m/>
    <m/>
    <m/>
    <m/>
    <m/>
    <m/>
    <n v="38"/>
    <n v="13.771508922000001"/>
    <n v="9.7455393521999998"/>
    <n v="18.902471956999999"/>
    <m/>
    <m/>
    <m/>
    <m/>
    <m/>
    <m/>
    <m/>
    <m/>
    <m/>
    <m/>
    <m/>
    <m/>
    <m/>
    <m/>
    <m/>
    <m/>
    <n v="82"/>
    <n v="4800"/>
    <n v="17.083333332999999"/>
    <n v="72.754017750000003"/>
    <n v="18629"/>
    <n v="75.638474969000001"/>
    <n v="74.277030784000004"/>
    <n v="76.999919152999993"/>
    <n v="3190"/>
    <n v="13.311078655999999"/>
    <n v="11.445301942"/>
    <n v="15.176855371"/>
    <n v="84.120345933999999"/>
    <n v="20718"/>
    <n v="82.100987348999993"/>
    <n v="86.139704518000002"/>
    <n v="54988"/>
    <n v="9780"/>
    <n v="17.785698698000001"/>
    <n v="13590"/>
    <n v="24.71448316"/>
    <n v="493"/>
    <n v="0.89655924929999997"/>
    <n v="175"/>
    <n v="0.31825125479999999"/>
    <n v="559"/>
    <n v="1.0165854368"/>
    <n v="21"/>
    <n v="3.81901506E-2"/>
    <n v="1128"/>
    <n v="2.0513566596000001"/>
    <n v="51750"/>
    <n v="94.111442496999999"/>
    <n v="150"/>
    <n v="0.28416087290000003"/>
    <n v="3.2560722899999998E-2"/>
    <n v="0.53576102299999995"/>
    <n v="50.97293955"/>
    <n v="42836"/>
    <n v="75.588494793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08700-C348-4D04-BB16-874CC5DA5EA1}"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lect Counties from the Filter">
  <location ref="A3:AK18" firstHeaderRow="0" firstDataRow="1" firstDataCol="1"/>
  <pivotFields count="450">
    <pivotField showAll="0"/>
    <pivotField showAll="0"/>
    <pivotField showAll="0"/>
    <pivotField showAll="0"/>
    <pivotField axis="axisRow" showAll="0">
      <items count="15">
        <item x="0"/>
        <item x="1"/>
        <item x="2"/>
        <item x="3"/>
        <item x="4"/>
        <item x="5"/>
        <item x="6"/>
        <item x="7"/>
        <item x="8"/>
        <item x="9"/>
        <item x="10"/>
        <item x="11"/>
        <item x="12"/>
        <item x="13"/>
        <item t="default"/>
      </items>
    </pivotField>
    <pivotField showAll="0"/>
    <pivotField showAll="0"/>
    <pivotField showAll="0"/>
    <pivotField dataField="1"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 numFmtId="1" showAll="0"/>
    <pivotField numFmtId="1" showAll="0"/>
    <pivotField numFmtId="1" showAll="0"/>
    <pivotField dataField="1" numFmtId="1" showAll="0"/>
    <pivotField numFmtId="1" showAll="0"/>
    <pivotField numFmtId="1" showAll="0"/>
    <pivotField numFmtId="1" showAll="0"/>
    <pivotField dataField="1" numFmtId="1" showAll="0"/>
    <pivotField numFmtId="1" showAll="0"/>
    <pivotField numFmtId="1" showAll="0"/>
    <pivotField numFmtId="1" showAll="0"/>
    <pivotField dataField="1" showAll="0"/>
    <pivotField showAll="0"/>
    <pivotField dataField="1" numFmtId="1" showAll="0"/>
    <pivotField numFmtId="1" showAll="0"/>
    <pivotField dataField="1" numFmtId="1" showAll="0"/>
    <pivotField numFmtI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 numFmtId="1" showAll="0"/>
    <pivotField numFmtId="1" showAll="0"/>
    <pivotField numFmtId="1" showAll="0"/>
    <pivotField dataField="1" numFmtId="1" showAll="0"/>
    <pivotField numFmtId="1" showAll="0"/>
    <pivotField numFmtId="1" showAll="0"/>
    <pivotField numFmtId="1" showAll="0"/>
    <pivotField dataField="1"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2" showAll="0"/>
    <pivotField numFmtId="2" showAll="0"/>
    <pivotField numFmtId="2"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dataField="1" numFmtId="1" showAll="0"/>
    <pivotField numFmtId="1" showAll="0"/>
    <pivotField numFmtId="164" showAll="0"/>
    <pivotField numFmtId="1" showAll="0"/>
    <pivotField numFmtId="164" showAll="0"/>
    <pivotField numFmtId="1" showAll="0"/>
    <pivotField numFmtId="164" showAll="0"/>
    <pivotField numFmtId="1" showAll="0"/>
    <pivotField numFmtId="164" showAll="0"/>
    <pivotField numFmtId="1" showAll="0"/>
    <pivotField numFmtId="164" showAll="0"/>
    <pivotField numFmtId="1" showAll="0"/>
    <pivotField numFmtId="164" showAll="0"/>
    <pivotField numFmtId="1" showAll="0"/>
    <pivotField numFmtId="164" showAll="0"/>
    <pivotField numFmtId="1" showAll="0"/>
    <pivotField numFmtId="164" showAll="0"/>
    <pivotField numFmtId="1" showAll="0"/>
    <pivotField numFmtId="1" showAll="0"/>
    <pivotField numFmtId="1" showAll="0"/>
    <pivotField numFmtId="1" showAll="0"/>
    <pivotField numFmtId="164" showAll="0"/>
    <pivotField dataField="1" numFmtId="1" showAll="0"/>
    <pivotField numFmtId="164" showAll="0"/>
  </pivotFields>
  <rowFields count="1">
    <field x="4"/>
  </rowFields>
  <rowItems count="15">
    <i>
      <x/>
    </i>
    <i>
      <x v="1"/>
    </i>
    <i>
      <x v="2"/>
    </i>
    <i>
      <x v="3"/>
    </i>
    <i>
      <x v="4"/>
    </i>
    <i>
      <x v="5"/>
    </i>
    <i>
      <x v="6"/>
    </i>
    <i>
      <x v="7"/>
    </i>
    <i>
      <x v="8"/>
    </i>
    <i>
      <x v="9"/>
    </i>
    <i>
      <x v="10"/>
    </i>
    <i>
      <x v="11"/>
    </i>
    <i>
      <x v="12"/>
    </i>
    <i>
      <x v="13"/>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name="Sum of E_TOTPOP" fld="8" baseField="0" baseItem="0"/>
    <dataField name="Sum of E_POV150" fld="14" baseField="0" baseItem="0"/>
    <dataField name="Sum of E_UNEMP" fld="16" baseField="0" baseItem="0"/>
    <dataField name="Sum of E_HBURD" fld="18" baseField="0" baseItem="0"/>
    <dataField name="Sum of E_NOHSDP" fld="20" baseField="0" baseItem="0"/>
    <dataField name="Sum of E_AGE65" fld="24" baseField="0" baseItem="0"/>
    <dataField name="Sum of E_AGE17" fld="26" baseField="0" baseItem="0"/>
    <dataField name="Sum of E_DISABL" fld="28" baseField="0" baseItem="0"/>
    <dataField name="Sum of E_SNGPNT" fld="30" baseField="0" baseItem="0"/>
    <dataField name="Sum of E_LIMENG" fld="32" baseField="0" baseItem="0"/>
    <dataField name="Sum of # rural residents" fld="448" baseField="0" baseItem="0"/>
    <dataField name="Sum of E_MUNIT" fld="36" baseField="0" baseItem="0"/>
    <dataField name="Sum of E_MOBILE" fld="38" baseField="0" baseItem="0"/>
    <dataField name="Sum of E_CROWD" fld="40" baseField="0" baseItem="0"/>
    <dataField name="Sum of E_NOVEH" fld="42" baseField="0" baseItem="0"/>
    <dataField name="Sum of E_GROUPQ" fld="44" baseField="0" baseItem="0"/>
    <dataField name="Sum of E_AFAM" fld="128" baseField="0" baseItem="0"/>
    <dataField name="Sum of E_HISP" fld="130" baseField="0" baseItem="0"/>
    <dataField name="Sum of E_ASIAN" fld="132" baseField="0" baseItem="0"/>
    <dataField name="Sum of E_AIAN" fld="134" baseField="0" baseItem="0"/>
    <dataField name="Sum of E_NHPI" fld="136" baseField="0" baseItem="0"/>
    <dataField name="Sum of E_TWOMORE" fld="138" baseField="0" baseItem="0"/>
    <dataField name="Sum of E_OTHERRACE" fld="140" baseField="0" baseItem="0"/>
    <dataField name="Sum of # Frequent Physical Distress" fld="235" baseField="0" baseItem="0"/>
    <dataField name="Sum of # Frequent Mental Distress" fld="239" baseField="0" baseItem="0"/>
    <dataField name="Sum of # Adults with Diabetes" fld="243" baseField="0" baseItem="0"/>
    <dataField name="Sum of # HIV Cases" fld="247" baseField="0" baseItem="0"/>
    <dataField name="Sum of # Food Insecure" fld="249" baseField="0" baseItem="0"/>
    <dataField name="Sum of # Limited Access" fld="251" baseField="0" baseItem="0"/>
    <dataField name="Sum of # Drug Overdose Deaths" fld="253" baseField="0" baseItem="0"/>
    <dataField name="Sum of # Insuficient Sleep" fld="291" baseField="0" baseItem="0"/>
    <dataField name="Sum of # Uninsured" fld="295" baseField="0" baseItem="0"/>
    <dataField name="Sum of # Uninsured2" fld="299" baseField="0" baseItem="0"/>
    <dataField name="Sum of # Deaths4" fld="370" baseField="0" baseItem="0"/>
    <dataField name="Sum of # Firearm Fatalities" fld="390" baseField="0" baseItem="0"/>
    <dataField name="Sum of Population" fld="426" baseField="0" baseItem="0"/>
  </dataFields>
  <formats count="7">
    <format dxfId="14">
      <pivotArea field="4" grandRow="1" outline="0" collapsedLevelsAreSubtotals="1" axis="axisRow" fieldPosition="0">
        <references count="1">
          <reference field="4294967294" count="1" selected="0">
            <x v="28"/>
          </reference>
        </references>
      </pivotArea>
    </format>
    <format dxfId="13">
      <pivotArea type="all" dataOnly="0" outline="0" fieldPosition="0"/>
    </format>
    <format dxfId="12">
      <pivotArea outline="0" collapsedLevelsAreSubtotals="1" fieldPosition="0"/>
    </format>
    <format dxfId="11">
      <pivotArea field="4" type="button" dataOnly="0" labelOnly="1" outline="0" axis="axisRow" fieldPosition="0"/>
    </format>
    <format dxfId="10">
      <pivotArea dataOnly="0" labelOnly="1" fieldPosition="0">
        <references count="1">
          <reference field="4" count="0"/>
        </references>
      </pivotArea>
    </format>
    <format dxfId="9">
      <pivotArea dataOnly="0" labelOnly="1" grandRow="1" outline="0" fieldPosition="0"/>
    </format>
    <format dxfId="8">
      <pivotArea dataOnly="0" labelOnly="1" outline="0" fieldPosition="0">
        <references count="1">
          <reference field="4294967294" count="36">
            <x v="0"/>
            <x v="1"/>
            <x v="2"/>
            <x v="3"/>
            <x v="4"/>
            <x v="5"/>
            <x v="6"/>
            <x v="7"/>
            <x v="8"/>
            <x v="9"/>
            <x v="10"/>
            <x v="11"/>
            <x v="12"/>
            <x v="13"/>
            <x v="14"/>
            <x v="15"/>
            <x v="16"/>
            <x v="17"/>
            <x v="18"/>
            <x v="19"/>
            <x v="20"/>
            <x v="21"/>
            <x v="22"/>
            <x v="23"/>
            <x v="24"/>
            <x v="25"/>
            <x v="26"/>
            <x v="27"/>
            <x v="28"/>
            <x v="29"/>
            <x v="30"/>
            <x v="31"/>
            <x v="32"/>
            <x v="33"/>
            <x v="34"/>
            <x v="3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C4BF6CF-45DD-4A23-AE57-E51441F3F790}"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0:AK35" firstHeaderRow="0" firstDataRow="1" firstDataCol="1"/>
  <pivotFields count="450">
    <pivotField showAll="0"/>
    <pivotField showAll="0"/>
    <pivotField showAll="0"/>
    <pivotField showAll="0"/>
    <pivotField axis="axisRow" showAll="0">
      <items count="15">
        <item x="0"/>
        <item x="1"/>
        <item x="2"/>
        <item x="3"/>
        <item x="4"/>
        <item x="5"/>
        <item x="6"/>
        <item x="7"/>
        <item x="8"/>
        <item x="9"/>
        <item x="10"/>
        <item x="11"/>
        <item x="12"/>
        <item x="13"/>
        <item t="default"/>
      </items>
    </pivotField>
    <pivotField showAll="0"/>
    <pivotField showAll="0"/>
    <pivotField showAll="0"/>
    <pivotField dataField="1"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 numFmtId="1" showAll="0"/>
    <pivotField numFmtId="1" showAll="0"/>
    <pivotField numFmtId="1" showAll="0"/>
    <pivotField dataField="1" numFmtId="1" showAll="0"/>
    <pivotField numFmtId="1" showAll="0"/>
    <pivotField numFmtId="1" showAll="0"/>
    <pivotField numFmtId="1" showAll="0"/>
    <pivotField dataField="1" numFmtId="1" showAll="0"/>
    <pivotField numFmtId="1" showAll="0"/>
    <pivotField numFmtId="1" showAll="0"/>
    <pivotField numFmtId="1" showAll="0"/>
    <pivotField dataField="1" showAll="0"/>
    <pivotField showAll="0"/>
    <pivotField dataField="1" numFmtId="1" showAll="0"/>
    <pivotField numFmtId="1" showAll="0"/>
    <pivotField dataField="1" numFmtId="1" showAll="0"/>
    <pivotField numFmtI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 numFmtId="1" showAll="0"/>
    <pivotField numFmtId="1" showAll="0"/>
    <pivotField numFmtId="1" showAll="0"/>
    <pivotField dataField="1" numFmtId="1" showAll="0"/>
    <pivotField numFmtId="1" showAll="0"/>
    <pivotField numFmtId="1" showAll="0"/>
    <pivotField numFmtId="1" showAll="0"/>
    <pivotField dataField="1" numFmtId="1"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2" showAll="0"/>
    <pivotField numFmtId="2" showAll="0"/>
    <pivotField numFmtId="2"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 numFmtId="1" showAll="0"/>
    <pivotField numFmtId="1"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numFmtId="1" showAll="0"/>
    <pivotField dataField="1" numFmtId="1" showAll="0"/>
    <pivotField numFmtId="1" showAll="0"/>
    <pivotField numFmtId="164" showAll="0"/>
    <pivotField numFmtId="1" showAll="0"/>
    <pivotField numFmtId="164" showAll="0"/>
    <pivotField numFmtId="1" showAll="0"/>
    <pivotField numFmtId="164" showAll="0"/>
    <pivotField numFmtId="1" showAll="0"/>
    <pivotField numFmtId="164" showAll="0"/>
    <pivotField numFmtId="1" showAll="0"/>
    <pivotField numFmtId="164" showAll="0"/>
    <pivotField numFmtId="1" showAll="0"/>
    <pivotField numFmtId="164" showAll="0"/>
    <pivotField numFmtId="1" showAll="0"/>
    <pivotField numFmtId="164" showAll="0"/>
    <pivotField numFmtId="1" showAll="0"/>
    <pivotField numFmtId="164" showAll="0"/>
    <pivotField numFmtId="1" showAll="0"/>
    <pivotField numFmtId="1" showAll="0"/>
    <pivotField numFmtId="1" showAll="0"/>
    <pivotField numFmtId="1" showAll="0"/>
    <pivotField numFmtId="164" showAll="0"/>
    <pivotField dataField="1" numFmtId="1" showAll="0"/>
    <pivotField numFmtId="164" showAll="0"/>
  </pivotFields>
  <rowFields count="1">
    <field x="4"/>
  </rowFields>
  <rowItems count="15">
    <i>
      <x/>
    </i>
    <i>
      <x v="1"/>
    </i>
    <i>
      <x v="2"/>
    </i>
    <i>
      <x v="3"/>
    </i>
    <i>
      <x v="4"/>
    </i>
    <i>
      <x v="5"/>
    </i>
    <i>
      <x v="6"/>
    </i>
    <i>
      <x v="7"/>
    </i>
    <i>
      <x v="8"/>
    </i>
    <i>
      <x v="9"/>
    </i>
    <i>
      <x v="10"/>
    </i>
    <i>
      <x v="11"/>
    </i>
    <i>
      <x v="12"/>
    </i>
    <i>
      <x v="13"/>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name="Sum of E_TOTPOP" fld="8" baseField="0" baseItem="0"/>
    <dataField name="Sum of E_POV150" fld="14" baseField="0" baseItem="0"/>
    <dataField name="Sum of E_UNEMP" fld="16" baseField="0" baseItem="0"/>
    <dataField name="Sum of E_HBURD" fld="18" baseField="0" baseItem="0"/>
    <dataField name="Sum of E_NOHSDP" fld="20" baseField="0" baseItem="0"/>
    <dataField name="Sum of E_AGE65" fld="24" baseField="0" baseItem="0"/>
    <dataField name="Sum of E_AGE17" fld="26" baseField="0" baseItem="0"/>
    <dataField name="Sum of E_DISABL" fld="28" baseField="0" baseItem="0"/>
    <dataField name="Sum of E_SNGPNT" fld="30" baseField="0" baseItem="0"/>
    <dataField name="Sum of E_LIMENG" fld="32" baseField="0" baseItem="0"/>
    <dataField name="Sum of # rural residents" fld="448" baseField="0" baseItem="0"/>
    <dataField name="Sum of E_MUNIT" fld="36" baseField="0" baseItem="0"/>
    <dataField name="Sum of E_MOBILE" fld="38" baseField="0" baseItem="0"/>
    <dataField name="Sum of E_CROWD" fld="40" baseField="0" baseItem="0"/>
    <dataField name="Sum of E_NOVEH" fld="42" baseField="0" baseItem="0"/>
    <dataField name="Sum of E_GROUPQ" fld="44" baseField="0" baseItem="0"/>
    <dataField name="Sum of E_AFAM" fld="128" baseField="0" baseItem="0"/>
    <dataField name="Sum of E_HISP" fld="130" baseField="0" baseItem="0"/>
    <dataField name="Sum of E_ASIAN" fld="132" baseField="0" baseItem="0"/>
    <dataField name="Sum of E_AIAN" fld="134" baseField="0" baseItem="0"/>
    <dataField name="Sum of E_NHPI" fld="136" baseField="0" baseItem="0"/>
    <dataField name="Sum of E_TWOMORE" fld="138" baseField="0" baseItem="0"/>
    <dataField name="Sum of E_OTHERRACE" fld="140" baseField="0" baseItem="0"/>
    <dataField name="Sum of # Frequent Physical Distress" fld="235" baseField="0" baseItem="0"/>
    <dataField name="Sum of # Frequent Mental Distress" fld="239" baseField="0" baseItem="0"/>
    <dataField name="Sum of # Adults with Diabetes" fld="243" baseField="0" baseItem="0"/>
    <dataField name="Sum of # HIV Cases" fld="247" baseField="0" baseItem="0"/>
    <dataField name="Sum of # Food Insecure" fld="249" baseField="0" baseItem="0"/>
    <dataField name="Sum of # Limited Access" fld="251" baseField="0" baseItem="0"/>
    <dataField name="Sum of # Drug Overdose Deaths" fld="253" baseField="0" baseItem="0"/>
    <dataField name="Sum of # Insuficient Sleep" fld="291" baseField="0" baseItem="0"/>
    <dataField name="Sum of # Uninsured" fld="295" baseField="0" baseItem="0"/>
    <dataField name="Sum of # Uninsured2" fld="299" baseField="0" baseItem="0"/>
    <dataField name="Sum of # Deaths4" fld="370" baseField="0" baseItem="0"/>
    <dataField name="Sum of # Firearm Fatalities" fld="390" baseField="0" baseItem="0"/>
    <dataField name="Sum of Population" fld="426" baseField="0" baseItem="0"/>
  </dataFields>
  <formats count="1">
    <format dxfId="0">
      <pivotArea field="4" grandRow="1" outline="0" collapsedLevelsAreSubtotals="1" axis="axisRow" fieldPosition="0">
        <references count="1">
          <reference field="4294967294" count="1" selected="0">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4202E-C542-4E7A-B3C7-D9BD197BE7F5}">
  <sheetPr codeName="Sheet1"/>
  <dimension ref="A1:N240"/>
  <sheetViews>
    <sheetView tabSelected="1" zoomScaleNormal="100" workbookViewId="0">
      <selection activeCell="A246" sqref="A246"/>
    </sheetView>
  </sheetViews>
  <sheetFormatPr defaultRowHeight="15" x14ac:dyDescent="0.25"/>
  <cols>
    <col min="1" max="1" width="9.140625" customWidth="1"/>
  </cols>
  <sheetData>
    <row r="1" spans="1:10" ht="15" customHeight="1" x14ac:dyDescent="0.25">
      <c r="A1" s="111" t="s">
        <v>618</v>
      </c>
      <c r="B1" s="125"/>
      <c r="C1" s="125"/>
      <c r="D1" s="125"/>
      <c r="E1" s="125"/>
      <c r="F1" s="125"/>
      <c r="G1" s="125"/>
      <c r="H1" s="125"/>
      <c r="I1" s="125"/>
      <c r="J1" s="126"/>
    </row>
    <row r="2" spans="1:10" ht="15" customHeight="1" x14ac:dyDescent="0.25">
      <c r="A2" s="127"/>
      <c r="B2" s="128"/>
      <c r="C2" s="128"/>
      <c r="D2" s="128"/>
      <c r="E2" s="128"/>
      <c r="F2" s="128"/>
      <c r="G2" s="128"/>
      <c r="H2" s="128"/>
      <c r="I2" s="128"/>
      <c r="J2" s="129"/>
    </row>
    <row r="3" spans="1:10" ht="15" customHeight="1" x14ac:dyDescent="0.25">
      <c r="A3" s="127"/>
      <c r="B3" s="128"/>
      <c r="C3" s="128"/>
      <c r="D3" s="128"/>
      <c r="E3" s="128"/>
      <c r="F3" s="128"/>
      <c r="G3" s="128"/>
      <c r="H3" s="128"/>
      <c r="I3" s="128"/>
      <c r="J3" s="129"/>
    </row>
    <row r="4" spans="1:10" ht="15" customHeight="1" x14ac:dyDescent="0.25">
      <c r="A4" s="127"/>
      <c r="B4" s="128"/>
      <c r="C4" s="128"/>
      <c r="D4" s="128"/>
      <c r="E4" s="128"/>
      <c r="F4" s="128"/>
      <c r="G4" s="128"/>
      <c r="H4" s="128"/>
      <c r="I4" s="128"/>
      <c r="J4" s="129"/>
    </row>
    <row r="5" spans="1:10" ht="15" customHeight="1" x14ac:dyDescent="0.25">
      <c r="A5" s="127"/>
      <c r="B5" s="128"/>
      <c r="C5" s="128"/>
      <c r="D5" s="128"/>
      <c r="E5" s="128"/>
      <c r="F5" s="128"/>
      <c r="G5" s="128"/>
      <c r="H5" s="128"/>
      <c r="I5" s="128"/>
      <c r="J5" s="129"/>
    </row>
    <row r="6" spans="1:10" ht="15" customHeight="1" x14ac:dyDescent="0.25">
      <c r="A6" s="127"/>
      <c r="B6" s="128"/>
      <c r="C6" s="128"/>
      <c r="D6" s="128"/>
      <c r="E6" s="128"/>
      <c r="F6" s="128"/>
      <c r="G6" s="128"/>
      <c r="H6" s="128"/>
      <c r="I6" s="128"/>
      <c r="J6" s="129"/>
    </row>
    <row r="7" spans="1:10" ht="15" customHeight="1" x14ac:dyDescent="0.25">
      <c r="A7" s="127"/>
      <c r="B7" s="128"/>
      <c r="C7" s="128"/>
      <c r="D7" s="128"/>
      <c r="E7" s="128"/>
      <c r="F7" s="128"/>
      <c r="G7" s="128"/>
      <c r="H7" s="128"/>
      <c r="I7" s="128"/>
      <c r="J7" s="129"/>
    </row>
    <row r="8" spans="1:10" ht="15" customHeight="1" x14ac:dyDescent="0.25">
      <c r="A8" s="127"/>
      <c r="B8" s="128"/>
      <c r="C8" s="128"/>
      <c r="D8" s="128"/>
      <c r="E8" s="128"/>
      <c r="F8" s="128"/>
      <c r="G8" s="128"/>
      <c r="H8" s="128"/>
      <c r="I8" s="128"/>
      <c r="J8" s="129"/>
    </row>
    <row r="9" spans="1:10" ht="15" customHeight="1" x14ac:dyDescent="0.25">
      <c r="A9" s="127"/>
      <c r="B9" s="128"/>
      <c r="C9" s="128"/>
      <c r="D9" s="128"/>
      <c r="E9" s="128"/>
      <c r="F9" s="128"/>
      <c r="G9" s="128"/>
      <c r="H9" s="128"/>
      <c r="I9" s="128"/>
      <c r="J9" s="129"/>
    </row>
    <row r="10" spans="1:10" ht="15" customHeight="1" x14ac:dyDescent="0.25">
      <c r="A10" s="127"/>
      <c r="B10" s="128"/>
      <c r="C10" s="128"/>
      <c r="D10" s="128"/>
      <c r="E10" s="128"/>
      <c r="F10" s="128"/>
      <c r="G10" s="128"/>
      <c r="H10" s="128"/>
      <c r="I10" s="128"/>
      <c r="J10" s="129"/>
    </row>
    <row r="11" spans="1:10" ht="15" customHeight="1" x14ac:dyDescent="0.25">
      <c r="A11" s="127"/>
      <c r="B11" s="128"/>
      <c r="C11" s="128"/>
      <c r="D11" s="128"/>
      <c r="E11" s="128"/>
      <c r="F11" s="128"/>
      <c r="G11" s="128"/>
      <c r="H11" s="128"/>
      <c r="I11" s="128"/>
      <c r="J11" s="129"/>
    </row>
    <row r="12" spans="1:10" ht="15" customHeight="1" x14ac:dyDescent="0.25">
      <c r="A12" s="127"/>
      <c r="B12" s="128"/>
      <c r="C12" s="128"/>
      <c r="D12" s="128"/>
      <c r="E12" s="128"/>
      <c r="F12" s="128"/>
      <c r="G12" s="128"/>
      <c r="H12" s="128"/>
      <c r="I12" s="128"/>
      <c r="J12" s="129"/>
    </row>
    <row r="13" spans="1:10" ht="15" customHeight="1" x14ac:dyDescent="0.25">
      <c r="A13" s="127"/>
      <c r="B13" s="128"/>
      <c r="C13" s="128"/>
      <c r="D13" s="128"/>
      <c r="E13" s="128"/>
      <c r="F13" s="128"/>
      <c r="G13" s="128"/>
      <c r="H13" s="128"/>
      <c r="I13" s="128"/>
      <c r="J13" s="129"/>
    </row>
    <row r="14" spans="1:10" ht="15" customHeight="1" x14ac:dyDescent="0.25">
      <c r="A14" s="127"/>
      <c r="B14" s="128"/>
      <c r="C14" s="128"/>
      <c r="D14" s="128"/>
      <c r="E14" s="128"/>
      <c r="F14" s="128"/>
      <c r="G14" s="128"/>
      <c r="H14" s="128"/>
      <c r="I14" s="128"/>
      <c r="J14" s="129"/>
    </row>
    <row r="15" spans="1:10" ht="15" customHeight="1" x14ac:dyDescent="0.25">
      <c r="A15" s="127"/>
      <c r="B15" s="128"/>
      <c r="C15" s="128"/>
      <c r="D15" s="128"/>
      <c r="E15" s="128"/>
      <c r="F15" s="128"/>
      <c r="G15" s="128"/>
      <c r="H15" s="128"/>
      <c r="I15" s="128"/>
      <c r="J15" s="129"/>
    </row>
    <row r="16" spans="1:10" ht="15" customHeight="1" x14ac:dyDescent="0.25">
      <c r="A16" s="127"/>
      <c r="B16" s="128"/>
      <c r="C16" s="128"/>
      <c r="D16" s="128"/>
      <c r="E16" s="128"/>
      <c r="F16" s="128"/>
      <c r="G16" s="128"/>
      <c r="H16" s="128"/>
      <c r="I16" s="128"/>
      <c r="J16" s="129"/>
    </row>
    <row r="17" spans="1:10" ht="15" customHeight="1" x14ac:dyDescent="0.25">
      <c r="A17" s="127"/>
      <c r="B17" s="128"/>
      <c r="C17" s="128"/>
      <c r="D17" s="128"/>
      <c r="E17" s="128"/>
      <c r="F17" s="128"/>
      <c r="G17" s="128"/>
      <c r="H17" s="128"/>
      <c r="I17" s="128"/>
      <c r="J17" s="129"/>
    </row>
    <row r="18" spans="1:10" ht="15" customHeight="1" x14ac:dyDescent="0.25">
      <c r="A18" s="127"/>
      <c r="B18" s="128"/>
      <c r="C18" s="128"/>
      <c r="D18" s="128"/>
      <c r="E18" s="128"/>
      <c r="F18" s="128"/>
      <c r="G18" s="128"/>
      <c r="H18" s="128"/>
      <c r="I18" s="128"/>
      <c r="J18" s="129"/>
    </row>
    <row r="19" spans="1:10" ht="15" customHeight="1" x14ac:dyDescent="0.25">
      <c r="A19" s="127"/>
      <c r="B19" s="128"/>
      <c r="C19" s="128"/>
      <c r="D19" s="128"/>
      <c r="E19" s="128"/>
      <c r="F19" s="128"/>
      <c r="G19" s="128"/>
      <c r="H19" s="128"/>
      <c r="I19" s="128"/>
      <c r="J19" s="129"/>
    </row>
    <row r="20" spans="1:10" ht="15" customHeight="1" x14ac:dyDescent="0.25">
      <c r="A20" s="127"/>
      <c r="B20" s="128"/>
      <c r="C20" s="128"/>
      <c r="D20" s="128"/>
      <c r="E20" s="128"/>
      <c r="F20" s="128"/>
      <c r="G20" s="128"/>
      <c r="H20" s="128"/>
      <c r="I20" s="128"/>
      <c r="J20" s="129"/>
    </row>
    <row r="21" spans="1:10" ht="15" customHeight="1" x14ac:dyDescent="0.25">
      <c r="A21" s="127"/>
      <c r="B21" s="128"/>
      <c r="C21" s="128"/>
      <c r="D21" s="128"/>
      <c r="E21" s="128"/>
      <c r="F21" s="128"/>
      <c r="G21" s="128"/>
      <c r="H21" s="128"/>
      <c r="I21" s="128"/>
      <c r="J21" s="129"/>
    </row>
    <row r="22" spans="1:10" ht="15" customHeight="1" x14ac:dyDescent="0.25">
      <c r="A22" s="127"/>
      <c r="B22" s="128"/>
      <c r="C22" s="128"/>
      <c r="D22" s="128"/>
      <c r="E22" s="128"/>
      <c r="F22" s="128"/>
      <c r="G22" s="128"/>
      <c r="H22" s="128"/>
      <c r="I22" s="128"/>
      <c r="J22" s="129"/>
    </row>
    <row r="23" spans="1:10" ht="15" customHeight="1" x14ac:dyDescent="0.25">
      <c r="A23" s="127"/>
      <c r="B23" s="128"/>
      <c r="C23" s="128"/>
      <c r="D23" s="128"/>
      <c r="E23" s="128"/>
      <c r="F23" s="128"/>
      <c r="G23" s="128"/>
      <c r="H23" s="128"/>
      <c r="I23" s="128"/>
      <c r="J23" s="129"/>
    </row>
    <row r="24" spans="1:10" ht="15" customHeight="1" x14ac:dyDescent="0.25">
      <c r="A24" s="127"/>
      <c r="B24" s="128"/>
      <c r="C24" s="128"/>
      <c r="D24" s="128"/>
      <c r="E24" s="128"/>
      <c r="F24" s="128"/>
      <c r="G24" s="128"/>
      <c r="H24" s="128"/>
      <c r="I24" s="128"/>
      <c r="J24" s="129"/>
    </row>
    <row r="25" spans="1:10" ht="15" customHeight="1" x14ac:dyDescent="0.25">
      <c r="A25" s="127"/>
      <c r="B25" s="128"/>
      <c r="C25" s="128"/>
      <c r="D25" s="128"/>
      <c r="E25" s="128"/>
      <c r="F25" s="128"/>
      <c r="G25" s="128"/>
      <c r="H25" s="128"/>
      <c r="I25" s="128"/>
      <c r="J25" s="129"/>
    </row>
    <row r="26" spans="1:10" ht="15" customHeight="1" x14ac:dyDescent="0.25">
      <c r="A26" s="127"/>
      <c r="B26" s="128"/>
      <c r="C26" s="128"/>
      <c r="D26" s="128"/>
      <c r="E26" s="128"/>
      <c r="F26" s="128"/>
      <c r="G26" s="128"/>
      <c r="H26" s="128"/>
      <c r="I26" s="128"/>
      <c r="J26" s="129"/>
    </row>
    <row r="27" spans="1:10" ht="15" customHeight="1" thickBot="1" x14ac:dyDescent="0.3">
      <c r="A27" s="130"/>
      <c r="B27" s="131"/>
      <c r="C27" s="131"/>
      <c r="D27" s="131"/>
      <c r="E27" s="131"/>
      <c r="F27" s="131"/>
      <c r="G27" s="131"/>
      <c r="H27" s="131"/>
      <c r="I27" s="131"/>
      <c r="J27" s="132"/>
    </row>
    <row r="28" spans="1:10" ht="15" customHeight="1" x14ac:dyDescent="0.25">
      <c r="A28" s="111" t="s">
        <v>619</v>
      </c>
      <c r="B28" s="112"/>
      <c r="C28" s="112"/>
      <c r="D28" s="112"/>
      <c r="E28" s="112"/>
      <c r="F28" s="112"/>
      <c r="G28" s="112"/>
      <c r="H28" s="112"/>
      <c r="I28" s="112"/>
      <c r="J28" s="113"/>
    </row>
    <row r="29" spans="1:10" ht="15" customHeight="1" x14ac:dyDescent="0.25">
      <c r="A29" s="105"/>
      <c r="B29" s="106"/>
      <c r="C29" s="106"/>
      <c r="D29" s="106"/>
      <c r="E29" s="106"/>
      <c r="F29" s="106"/>
      <c r="G29" s="106"/>
      <c r="H29" s="106"/>
      <c r="I29" s="106"/>
      <c r="J29" s="107"/>
    </row>
    <row r="30" spans="1:10" ht="15" customHeight="1" x14ac:dyDescent="0.25">
      <c r="A30" s="105"/>
      <c r="B30" s="106"/>
      <c r="C30" s="106"/>
      <c r="D30" s="106"/>
      <c r="E30" s="106"/>
      <c r="F30" s="106"/>
      <c r="G30" s="106"/>
      <c r="H30" s="106"/>
      <c r="I30" s="106"/>
      <c r="J30" s="107"/>
    </row>
    <row r="31" spans="1:10" ht="15" customHeight="1" x14ac:dyDescent="0.25">
      <c r="A31" s="105"/>
      <c r="B31" s="106"/>
      <c r="C31" s="106"/>
      <c r="D31" s="106"/>
      <c r="E31" s="106"/>
      <c r="F31" s="106"/>
      <c r="G31" s="106"/>
      <c r="H31" s="106"/>
      <c r="I31" s="106"/>
      <c r="J31" s="107"/>
    </row>
    <row r="32" spans="1:10" ht="15" customHeight="1" x14ac:dyDescent="0.25">
      <c r="A32" s="105"/>
      <c r="B32" s="106"/>
      <c r="C32" s="106"/>
      <c r="D32" s="106"/>
      <c r="E32" s="106"/>
      <c r="F32" s="106"/>
      <c r="G32" s="106"/>
      <c r="H32" s="106"/>
      <c r="I32" s="106"/>
      <c r="J32" s="107"/>
    </row>
    <row r="33" spans="1:10" ht="15" customHeight="1" x14ac:dyDescent="0.25">
      <c r="A33" s="105"/>
      <c r="B33" s="106"/>
      <c r="C33" s="106"/>
      <c r="D33" s="106"/>
      <c r="E33" s="106"/>
      <c r="F33" s="106"/>
      <c r="G33" s="106"/>
      <c r="H33" s="106"/>
      <c r="I33" s="106"/>
      <c r="J33" s="107"/>
    </row>
    <row r="34" spans="1:10" ht="15" customHeight="1" x14ac:dyDescent="0.25">
      <c r="A34" s="105"/>
      <c r="B34" s="106"/>
      <c r="C34" s="106"/>
      <c r="D34" s="106"/>
      <c r="E34" s="106"/>
      <c r="F34" s="106"/>
      <c r="G34" s="106"/>
      <c r="H34" s="106"/>
      <c r="I34" s="106"/>
      <c r="J34" s="107"/>
    </row>
    <row r="35" spans="1:10" ht="15" customHeight="1" x14ac:dyDescent="0.25">
      <c r="A35" s="105"/>
      <c r="B35" s="106"/>
      <c r="C35" s="106"/>
      <c r="D35" s="106"/>
      <c r="E35" s="106"/>
      <c r="F35" s="106"/>
      <c r="G35" s="106"/>
      <c r="H35" s="106"/>
      <c r="I35" s="106"/>
      <c r="J35" s="107"/>
    </row>
    <row r="36" spans="1:10" ht="15" customHeight="1" x14ac:dyDescent="0.25">
      <c r="A36" s="105"/>
      <c r="B36" s="106"/>
      <c r="C36" s="106"/>
      <c r="D36" s="106"/>
      <c r="E36" s="106"/>
      <c r="F36" s="106"/>
      <c r="G36" s="106"/>
      <c r="H36" s="106"/>
      <c r="I36" s="106"/>
      <c r="J36" s="107"/>
    </row>
    <row r="37" spans="1:10" ht="15" customHeight="1" x14ac:dyDescent="0.25">
      <c r="A37" s="105"/>
      <c r="B37" s="106"/>
      <c r="C37" s="106"/>
      <c r="D37" s="106"/>
      <c r="E37" s="106"/>
      <c r="F37" s="106"/>
      <c r="G37" s="106"/>
      <c r="H37" s="106"/>
      <c r="I37" s="106"/>
      <c r="J37" s="107"/>
    </row>
    <row r="38" spans="1:10" ht="15" customHeight="1" x14ac:dyDescent="0.25">
      <c r="A38" s="105"/>
      <c r="B38" s="106"/>
      <c r="C38" s="106"/>
      <c r="D38" s="106"/>
      <c r="E38" s="106"/>
      <c r="F38" s="106"/>
      <c r="G38" s="106"/>
      <c r="H38" s="106"/>
      <c r="I38" s="106"/>
      <c r="J38" s="107"/>
    </row>
    <row r="39" spans="1:10" ht="15" customHeight="1" x14ac:dyDescent="0.25">
      <c r="A39" s="105"/>
      <c r="B39" s="106"/>
      <c r="C39" s="106"/>
      <c r="D39" s="106"/>
      <c r="E39" s="106"/>
      <c r="F39" s="106"/>
      <c r="G39" s="106"/>
      <c r="H39" s="106"/>
      <c r="I39" s="106"/>
      <c r="J39" s="107"/>
    </row>
    <row r="40" spans="1:10" ht="15" customHeight="1" x14ac:dyDescent="0.25">
      <c r="A40" s="105"/>
      <c r="B40" s="106"/>
      <c r="C40" s="106"/>
      <c r="D40" s="106"/>
      <c r="E40" s="106"/>
      <c r="F40" s="106"/>
      <c r="G40" s="106"/>
      <c r="H40" s="106"/>
      <c r="I40" s="106"/>
      <c r="J40" s="107"/>
    </row>
    <row r="41" spans="1:10" ht="15" customHeight="1" x14ac:dyDescent="0.25">
      <c r="A41" s="105"/>
      <c r="B41" s="106"/>
      <c r="C41" s="106"/>
      <c r="D41" s="106"/>
      <c r="E41" s="106"/>
      <c r="F41" s="106"/>
      <c r="G41" s="106"/>
      <c r="H41" s="106"/>
      <c r="I41" s="106"/>
      <c r="J41" s="107"/>
    </row>
    <row r="42" spans="1:10" ht="15" customHeight="1" x14ac:dyDescent="0.25">
      <c r="A42" s="105"/>
      <c r="B42" s="106"/>
      <c r="C42" s="106"/>
      <c r="D42" s="106"/>
      <c r="E42" s="106"/>
      <c r="F42" s="106"/>
      <c r="G42" s="106"/>
      <c r="H42" s="106"/>
      <c r="I42" s="106"/>
      <c r="J42" s="107"/>
    </row>
    <row r="43" spans="1:10" ht="15" customHeight="1" x14ac:dyDescent="0.25">
      <c r="A43" s="105"/>
      <c r="B43" s="106"/>
      <c r="C43" s="106"/>
      <c r="D43" s="106"/>
      <c r="E43" s="106"/>
      <c r="F43" s="106"/>
      <c r="G43" s="106"/>
      <c r="H43" s="106"/>
      <c r="I43" s="106"/>
      <c r="J43" s="107"/>
    </row>
    <row r="44" spans="1:10" ht="15" customHeight="1" x14ac:dyDescent="0.25">
      <c r="A44" s="105"/>
      <c r="B44" s="106"/>
      <c r="C44" s="106"/>
      <c r="D44" s="106"/>
      <c r="E44" s="106"/>
      <c r="F44" s="106"/>
      <c r="G44" s="106"/>
      <c r="H44" s="106"/>
      <c r="I44" s="106"/>
      <c r="J44" s="107"/>
    </row>
    <row r="45" spans="1:10" ht="15" customHeight="1" x14ac:dyDescent="0.25">
      <c r="A45" s="105"/>
      <c r="B45" s="106"/>
      <c r="C45" s="106"/>
      <c r="D45" s="106"/>
      <c r="E45" s="106"/>
      <c r="F45" s="106"/>
      <c r="G45" s="106"/>
      <c r="H45" s="106"/>
      <c r="I45" s="106"/>
      <c r="J45" s="107"/>
    </row>
    <row r="46" spans="1:10" ht="15" customHeight="1" x14ac:dyDescent="0.25">
      <c r="A46" s="105"/>
      <c r="B46" s="106"/>
      <c r="C46" s="106"/>
      <c r="D46" s="106"/>
      <c r="E46" s="106"/>
      <c r="F46" s="106"/>
      <c r="G46" s="106"/>
      <c r="H46" s="106"/>
      <c r="I46" s="106"/>
      <c r="J46" s="107"/>
    </row>
    <row r="47" spans="1:10" ht="15" customHeight="1" thickBot="1" x14ac:dyDescent="0.3">
      <c r="A47" s="108"/>
      <c r="B47" s="109"/>
      <c r="C47" s="109"/>
      <c r="D47" s="109"/>
      <c r="E47" s="109"/>
      <c r="F47" s="109"/>
      <c r="G47" s="109"/>
      <c r="H47" s="109"/>
      <c r="I47" s="109"/>
      <c r="J47" s="110"/>
    </row>
    <row r="48" spans="1:10" ht="15" customHeight="1" x14ac:dyDescent="0.25">
      <c r="A48" s="111" t="s">
        <v>620</v>
      </c>
      <c r="B48" s="112"/>
      <c r="C48" s="112"/>
      <c r="D48" s="112"/>
      <c r="E48" s="112"/>
      <c r="F48" s="112"/>
      <c r="G48" s="112"/>
      <c r="H48" s="112"/>
      <c r="I48" s="112"/>
      <c r="J48" s="113"/>
    </row>
    <row r="49" spans="1:10" ht="15" customHeight="1" x14ac:dyDescent="0.25">
      <c r="A49" s="105"/>
      <c r="B49" s="106"/>
      <c r="C49" s="106"/>
      <c r="D49" s="106"/>
      <c r="E49" s="106"/>
      <c r="F49" s="106"/>
      <c r="G49" s="106"/>
      <c r="H49" s="106"/>
      <c r="I49" s="106"/>
      <c r="J49" s="107"/>
    </row>
    <row r="50" spans="1:10" ht="15" customHeight="1" x14ac:dyDescent="0.25">
      <c r="A50" s="105"/>
      <c r="B50" s="106"/>
      <c r="C50" s="106"/>
      <c r="D50" s="106"/>
      <c r="E50" s="106"/>
      <c r="F50" s="106"/>
      <c r="G50" s="106"/>
      <c r="H50" s="106"/>
      <c r="I50" s="106"/>
      <c r="J50" s="107"/>
    </row>
    <row r="51" spans="1:10" ht="15" customHeight="1" x14ac:dyDescent="0.25">
      <c r="A51" s="105"/>
      <c r="B51" s="106"/>
      <c r="C51" s="106"/>
      <c r="D51" s="106"/>
      <c r="E51" s="106"/>
      <c r="F51" s="106"/>
      <c r="G51" s="106"/>
      <c r="H51" s="106"/>
      <c r="I51" s="106"/>
      <c r="J51" s="107"/>
    </row>
    <row r="52" spans="1:10" ht="15" customHeight="1" x14ac:dyDescent="0.25">
      <c r="A52" s="105"/>
      <c r="B52" s="106"/>
      <c r="C52" s="106"/>
      <c r="D52" s="106"/>
      <c r="E52" s="106"/>
      <c r="F52" s="106"/>
      <c r="G52" s="106"/>
      <c r="H52" s="106"/>
      <c r="I52" s="106"/>
      <c r="J52" s="107"/>
    </row>
    <row r="53" spans="1:10" ht="15" customHeight="1" x14ac:dyDescent="0.25">
      <c r="A53" s="105"/>
      <c r="B53" s="106"/>
      <c r="C53" s="106"/>
      <c r="D53" s="106"/>
      <c r="E53" s="106"/>
      <c r="F53" s="106"/>
      <c r="G53" s="106"/>
      <c r="H53" s="106"/>
      <c r="I53" s="106"/>
      <c r="J53" s="107"/>
    </row>
    <row r="54" spans="1:10" ht="15" customHeight="1" x14ac:dyDescent="0.25">
      <c r="A54" s="105"/>
      <c r="B54" s="106"/>
      <c r="C54" s="106"/>
      <c r="D54" s="106"/>
      <c r="E54" s="106"/>
      <c r="F54" s="106"/>
      <c r="G54" s="106"/>
      <c r="H54" s="106"/>
      <c r="I54" s="106"/>
      <c r="J54" s="107"/>
    </row>
    <row r="55" spans="1:10" ht="15" customHeight="1" x14ac:dyDescent="0.25">
      <c r="A55" s="105"/>
      <c r="B55" s="106"/>
      <c r="C55" s="106"/>
      <c r="D55" s="106"/>
      <c r="E55" s="106"/>
      <c r="F55" s="106"/>
      <c r="G55" s="106"/>
      <c r="H55" s="106"/>
      <c r="I55" s="106"/>
      <c r="J55" s="107"/>
    </row>
    <row r="56" spans="1:10" ht="15" customHeight="1" x14ac:dyDescent="0.25">
      <c r="A56" s="105"/>
      <c r="B56" s="106"/>
      <c r="C56" s="106"/>
      <c r="D56" s="106"/>
      <c r="E56" s="106"/>
      <c r="F56" s="106"/>
      <c r="G56" s="106"/>
      <c r="H56" s="106"/>
      <c r="I56" s="106"/>
      <c r="J56" s="107"/>
    </row>
    <row r="57" spans="1:10" ht="15" customHeight="1" x14ac:dyDescent="0.25">
      <c r="A57" s="105"/>
      <c r="B57" s="106"/>
      <c r="C57" s="106"/>
      <c r="D57" s="106"/>
      <c r="E57" s="106"/>
      <c r="F57" s="106"/>
      <c r="G57" s="106"/>
      <c r="H57" s="106"/>
      <c r="I57" s="106"/>
      <c r="J57" s="107"/>
    </row>
    <row r="58" spans="1:10" ht="15" customHeight="1" x14ac:dyDescent="0.25">
      <c r="A58" s="105"/>
      <c r="B58" s="106"/>
      <c r="C58" s="106"/>
      <c r="D58" s="106"/>
      <c r="E58" s="106"/>
      <c r="F58" s="106"/>
      <c r="G58" s="106"/>
      <c r="H58" s="106"/>
      <c r="I58" s="106"/>
      <c r="J58" s="107"/>
    </row>
    <row r="59" spans="1:10" ht="15" customHeight="1" x14ac:dyDescent="0.25">
      <c r="A59" s="105"/>
      <c r="B59" s="106"/>
      <c r="C59" s="106"/>
      <c r="D59" s="106"/>
      <c r="E59" s="106"/>
      <c r="F59" s="106"/>
      <c r="G59" s="106"/>
      <c r="H59" s="106"/>
      <c r="I59" s="106"/>
      <c r="J59" s="107"/>
    </row>
    <row r="60" spans="1:10" ht="15" customHeight="1" x14ac:dyDescent="0.25">
      <c r="A60" s="105"/>
      <c r="B60" s="106"/>
      <c r="C60" s="106"/>
      <c r="D60" s="106"/>
      <c r="E60" s="106"/>
      <c r="F60" s="106"/>
      <c r="G60" s="106"/>
      <c r="H60" s="106"/>
      <c r="I60" s="106"/>
      <c r="J60" s="107"/>
    </row>
    <row r="61" spans="1:10" ht="15" customHeight="1" x14ac:dyDescent="0.25">
      <c r="A61" s="105"/>
      <c r="B61" s="106"/>
      <c r="C61" s="106"/>
      <c r="D61" s="106"/>
      <c r="E61" s="106"/>
      <c r="F61" s="106"/>
      <c r="G61" s="106"/>
      <c r="H61" s="106"/>
      <c r="I61" s="106"/>
      <c r="J61" s="107"/>
    </row>
    <row r="62" spans="1:10" ht="15" customHeight="1" x14ac:dyDescent="0.25">
      <c r="A62" s="105"/>
      <c r="B62" s="106"/>
      <c r="C62" s="106"/>
      <c r="D62" s="106"/>
      <c r="E62" s="106"/>
      <c r="F62" s="106"/>
      <c r="G62" s="106"/>
      <c r="H62" s="106"/>
      <c r="I62" s="106"/>
      <c r="J62" s="107"/>
    </row>
    <row r="63" spans="1:10" x14ac:dyDescent="0.25">
      <c r="A63" s="105"/>
      <c r="B63" s="106"/>
      <c r="C63" s="106"/>
      <c r="D63" s="106"/>
      <c r="E63" s="106"/>
      <c r="F63" s="106"/>
      <c r="G63" s="106"/>
      <c r="H63" s="106"/>
      <c r="I63" s="106"/>
      <c r="J63" s="107"/>
    </row>
    <row r="64" spans="1:10" ht="15.75" thickBot="1" x14ac:dyDescent="0.3">
      <c r="A64" s="108"/>
      <c r="B64" s="109"/>
      <c r="C64" s="109"/>
      <c r="D64" s="109"/>
      <c r="E64" s="109"/>
      <c r="F64" s="109"/>
      <c r="G64" s="109"/>
      <c r="H64" s="109"/>
      <c r="I64" s="109"/>
      <c r="J64" s="110"/>
    </row>
    <row r="65" spans="1:10" ht="15" customHeight="1" x14ac:dyDescent="0.25">
      <c r="A65" s="111" t="s">
        <v>621</v>
      </c>
      <c r="B65" s="112"/>
      <c r="C65" s="112"/>
      <c r="D65" s="112"/>
      <c r="E65" s="112"/>
      <c r="F65" s="112"/>
      <c r="G65" s="112"/>
      <c r="H65" s="112"/>
      <c r="I65" s="112"/>
      <c r="J65" s="113"/>
    </row>
    <row r="66" spans="1:10" x14ac:dyDescent="0.25">
      <c r="A66" s="105"/>
      <c r="B66" s="106"/>
      <c r="C66" s="106"/>
      <c r="D66" s="106"/>
      <c r="E66" s="106"/>
      <c r="F66" s="106"/>
      <c r="G66" s="106"/>
      <c r="H66" s="106"/>
      <c r="I66" s="106"/>
      <c r="J66" s="107"/>
    </row>
    <row r="67" spans="1:10" x14ac:dyDescent="0.25">
      <c r="A67" s="105"/>
      <c r="B67" s="106"/>
      <c r="C67" s="106"/>
      <c r="D67" s="106"/>
      <c r="E67" s="106"/>
      <c r="F67" s="106"/>
      <c r="G67" s="106"/>
      <c r="H67" s="106"/>
      <c r="I67" s="106"/>
      <c r="J67" s="107"/>
    </row>
    <row r="68" spans="1:10" x14ac:dyDescent="0.25">
      <c r="A68" s="105"/>
      <c r="B68" s="106"/>
      <c r="C68" s="106"/>
      <c r="D68" s="106"/>
      <c r="E68" s="106"/>
      <c r="F68" s="106"/>
      <c r="G68" s="106"/>
      <c r="H68" s="106"/>
      <c r="I68" s="106"/>
      <c r="J68" s="107"/>
    </row>
    <row r="69" spans="1:10" x14ac:dyDescent="0.25">
      <c r="A69" s="105"/>
      <c r="B69" s="106"/>
      <c r="C69" s="106"/>
      <c r="D69" s="106"/>
      <c r="E69" s="106"/>
      <c r="F69" s="106"/>
      <c r="G69" s="106"/>
      <c r="H69" s="106"/>
      <c r="I69" s="106"/>
      <c r="J69" s="107"/>
    </row>
    <row r="70" spans="1:10" x14ac:dyDescent="0.25">
      <c r="A70" s="105"/>
      <c r="B70" s="106"/>
      <c r="C70" s="106"/>
      <c r="D70" s="106"/>
      <c r="E70" s="106"/>
      <c r="F70" s="106"/>
      <c r="G70" s="106"/>
      <c r="H70" s="106"/>
      <c r="I70" s="106"/>
      <c r="J70" s="107"/>
    </row>
    <row r="71" spans="1:10" x14ac:dyDescent="0.25">
      <c r="A71" s="105"/>
      <c r="B71" s="106"/>
      <c r="C71" s="106"/>
      <c r="D71" s="106"/>
      <c r="E71" s="106"/>
      <c r="F71" s="106"/>
      <c r="G71" s="106"/>
      <c r="H71" s="106"/>
      <c r="I71" s="106"/>
      <c r="J71" s="107"/>
    </row>
    <row r="72" spans="1:10" x14ac:dyDescent="0.25">
      <c r="A72" s="105"/>
      <c r="B72" s="106"/>
      <c r="C72" s="106"/>
      <c r="D72" s="106"/>
      <c r="E72" s="106"/>
      <c r="F72" s="106"/>
      <c r="G72" s="106"/>
      <c r="H72" s="106"/>
      <c r="I72" s="106"/>
      <c r="J72" s="107"/>
    </row>
    <row r="73" spans="1:10" x14ac:dyDescent="0.25">
      <c r="A73" s="105"/>
      <c r="B73" s="106"/>
      <c r="C73" s="106"/>
      <c r="D73" s="106"/>
      <c r="E73" s="106"/>
      <c r="F73" s="106"/>
      <c r="G73" s="106"/>
      <c r="H73" s="106"/>
      <c r="I73" s="106"/>
      <c r="J73" s="107"/>
    </row>
    <row r="74" spans="1:10" x14ac:dyDescent="0.25">
      <c r="A74" s="105"/>
      <c r="B74" s="106"/>
      <c r="C74" s="106"/>
      <c r="D74" s="106"/>
      <c r="E74" s="106"/>
      <c r="F74" s="106"/>
      <c r="G74" s="106"/>
      <c r="H74" s="106"/>
      <c r="I74" s="106"/>
      <c r="J74" s="107"/>
    </row>
    <row r="75" spans="1:10" x14ac:dyDescent="0.25">
      <c r="A75" s="105"/>
      <c r="B75" s="106"/>
      <c r="C75" s="106"/>
      <c r="D75" s="106"/>
      <c r="E75" s="106"/>
      <c r="F75" s="106"/>
      <c r="G75" s="106"/>
      <c r="H75" s="106"/>
      <c r="I75" s="106"/>
      <c r="J75" s="107"/>
    </row>
    <row r="76" spans="1:10" x14ac:dyDescent="0.25">
      <c r="A76" s="105"/>
      <c r="B76" s="106"/>
      <c r="C76" s="106"/>
      <c r="D76" s="106"/>
      <c r="E76" s="106"/>
      <c r="F76" s="106"/>
      <c r="G76" s="106"/>
      <c r="H76" s="106"/>
      <c r="I76" s="106"/>
      <c r="J76" s="107"/>
    </row>
    <row r="77" spans="1:10" x14ac:dyDescent="0.25">
      <c r="A77" s="105"/>
      <c r="B77" s="106"/>
      <c r="C77" s="106"/>
      <c r="D77" s="106"/>
      <c r="E77" s="106"/>
      <c r="F77" s="106"/>
      <c r="G77" s="106"/>
      <c r="H77" s="106"/>
      <c r="I77" s="106"/>
      <c r="J77" s="107"/>
    </row>
    <row r="78" spans="1:10" x14ac:dyDescent="0.25">
      <c r="A78" s="105"/>
      <c r="B78" s="106"/>
      <c r="C78" s="106"/>
      <c r="D78" s="106"/>
      <c r="E78" s="106"/>
      <c r="F78" s="106"/>
      <c r="G78" s="106"/>
      <c r="H78" s="106"/>
      <c r="I78" s="106"/>
      <c r="J78" s="107"/>
    </row>
    <row r="79" spans="1:10" x14ac:dyDescent="0.25">
      <c r="A79" s="105"/>
      <c r="B79" s="106"/>
      <c r="C79" s="106"/>
      <c r="D79" s="106"/>
      <c r="E79" s="106"/>
      <c r="F79" s="106"/>
      <c r="G79" s="106"/>
      <c r="H79" s="106"/>
      <c r="I79" s="106"/>
      <c r="J79" s="107"/>
    </row>
    <row r="80" spans="1:10" x14ac:dyDescent="0.25">
      <c r="A80" s="105"/>
      <c r="B80" s="106"/>
      <c r="C80" s="106"/>
      <c r="D80" s="106"/>
      <c r="E80" s="106"/>
      <c r="F80" s="106"/>
      <c r="G80" s="106"/>
      <c r="H80" s="106"/>
      <c r="I80" s="106"/>
      <c r="J80" s="107"/>
    </row>
    <row r="81" spans="1:10" x14ac:dyDescent="0.25">
      <c r="A81" s="105"/>
      <c r="B81" s="106"/>
      <c r="C81" s="106"/>
      <c r="D81" s="106"/>
      <c r="E81" s="106"/>
      <c r="F81" s="106"/>
      <c r="G81" s="106"/>
      <c r="H81" s="106"/>
      <c r="I81" s="106"/>
      <c r="J81" s="107"/>
    </row>
    <row r="82" spans="1:10" x14ac:dyDescent="0.25">
      <c r="A82" s="105"/>
      <c r="B82" s="106"/>
      <c r="C82" s="106"/>
      <c r="D82" s="106"/>
      <c r="E82" s="106"/>
      <c r="F82" s="106"/>
      <c r="G82" s="106"/>
      <c r="H82" s="106"/>
      <c r="I82" s="106"/>
      <c r="J82" s="107"/>
    </row>
    <row r="83" spans="1:10" x14ac:dyDescent="0.25">
      <c r="A83" s="105"/>
      <c r="B83" s="106"/>
      <c r="C83" s="106"/>
      <c r="D83" s="106"/>
      <c r="E83" s="106"/>
      <c r="F83" s="106"/>
      <c r="G83" s="106"/>
      <c r="H83" s="106"/>
      <c r="I83" s="106"/>
      <c r="J83" s="107"/>
    </row>
    <row r="84" spans="1:10" x14ac:dyDescent="0.25">
      <c r="A84" s="105"/>
      <c r="B84" s="106"/>
      <c r="C84" s="106"/>
      <c r="D84" s="106"/>
      <c r="E84" s="106"/>
      <c r="F84" s="106"/>
      <c r="G84" s="106"/>
      <c r="H84" s="106"/>
      <c r="I84" s="106"/>
      <c r="J84" s="107"/>
    </row>
    <row r="85" spans="1:10" x14ac:dyDescent="0.25">
      <c r="A85" s="105"/>
      <c r="B85" s="106"/>
      <c r="C85" s="106"/>
      <c r="D85" s="106"/>
      <c r="E85" s="106"/>
      <c r="F85" s="106"/>
      <c r="G85" s="106"/>
      <c r="H85" s="106"/>
      <c r="I85" s="106"/>
      <c r="J85" s="107"/>
    </row>
    <row r="86" spans="1:10" x14ac:dyDescent="0.25">
      <c r="A86" s="105"/>
      <c r="B86" s="106"/>
      <c r="C86" s="106"/>
      <c r="D86" s="106"/>
      <c r="E86" s="106"/>
      <c r="F86" s="106"/>
      <c r="G86" s="106"/>
      <c r="H86" s="106"/>
      <c r="I86" s="106"/>
      <c r="J86" s="107"/>
    </row>
    <row r="87" spans="1:10" x14ac:dyDescent="0.25">
      <c r="A87" s="105"/>
      <c r="B87" s="106"/>
      <c r="C87" s="106"/>
      <c r="D87" s="106"/>
      <c r="E87" s="106"/>
      <c r="F87" s="106"/>
      <c r="G87" s="106"/>
      <c r="H87" s="106"/>
      <c r="I87" s="106"/>
      <c r="J87" s="107"/>
    </row>
    <row r="88" spans="1:10" x14ac:dyDescent="0.25">
      <c r="A88" s="105"/>
      <c r="B88" s="106"/>
      <c r="C88" s="106"/>
      <c r="D88" s="106"/>
      <c r="E88" s="106"/>
      <c r="F88" s="106"/>
      <c r="G88" s="106"/>
      <c r="H88" s="106"/>
      <c r="I88" s="106"/>
      <c r="J88" s="107"/>
    </row>
    <row r="89" spans="1:10" x14ac:dyDescent="0.25">
      <c r="A89" s="105"/>
      <c r="B89" s="106"/>
      <c r="C89" s="106"/>
      <c r="D89" s="106"/>
      <c r="E89" s="106"/>
      <c r="F89" s="106"/>
      <c r="G89" s="106"/>
      <c r="H89" s="106"/>
      <c r="I89" s="106"/>
      <c r="J89" s="107"/>
    </row>
    <row r="90" spans="1:10" x14ac:dyDescent="0.25">
      <c r="A90" s="105"/>
      <c r="B90" s="106"/>
      <c r="C90" s="106"/>
      <c r="D90" s="106"/>
      <c r="E90" s="106"/>
      <c r="F90" s="106"/>
      <c r="G90" s="106"/>
      <c r="H90" s="106"/>
      <c r="I90" s="106"/>
      <c r="J90" s="107"/>
    </row>
    <row r="91" spans="1:10" x14ac:dyDescent="0.25">
      <c r="A91" s="105"/>
      <c r="B91" s="106"/>
      <c r="C91" s="106"/>
      <c r="D91" s="106"/>
      <c r="E91" s="106"/>
      <c r="F91" s="106"/>
      <c r="G91" s="106"/>
      <c r="H91" s="106"/>
      <c r="I91" s="106"/>
      <c r="J91" s="107"/>
    </row>
    <row r="92" spans="1:10" x14ac:dyDescent="0.25">
      <c r="A92" s="105"/>
      <c r="B92" s="106"/>
      <c r="C92" s="106"/>
      <c r="D92" s="106"/>
      <c r="E92" s="106"/>
      <c r="F92" s="106"/>
      <c r="G92" s="106"/>
      <c r="H92" s="106"/>
      <c r="I92" s="106"/>
      <c r="J92" s="107"/>
    </row>
    <row r="93" spans="1:10" x14ac:dyDescent="0.25">
      <c r="A93" s="105"/>
      <c r="B93" s="106"/>
      <c r="C93" s="106"/>
      <c r="D93" s="106"/>
      <c r="E93" s="106"/>
      <c r="F93" s="106"/>
      <c r="G93" s="106"/>
      <c r="H93" s="106"/>
      <c r="I93" s="106"/>
      <c r="J93" s="107"/>
    </row>
    <row r="94" spans="1:10" ht="15.75" thickBot="1" x14ac:dyDescent="0.3">
      <c r="A94" s="108"/>
      <c r="B94" s="109"/>
      <c r="C94" s="109"/>
      <c r="D94" s="109"/>
      <c r="E94" s="109"/>
      <c r="F94" s="109"/>
      <c r="G94" s="109"/>
      <c r="H94" s="109"/>
      <c r="I94" s="109"/>
      <c r="J94" s="110"/>
    </row>
    <row r="95" spans="1:10" ht="15" customHeight="1" x14ac:dyDescent="0.25">
      <c r="A95" s="111" t="s">
        <v>622</v>
      </c>
      <c r="B95" s="112"/>
      <c r="C95" s="112"/>
      <c r="D95" s="112"/>
      <c r="E95" s="112"/>
      <c r="F95" s="112"/>
      <c r="G95" s="112"/>
      <c r="H95" s="112"/>
      <c r="I95" s="112"/>
      <c r="J95" s="113"/>
    </row>
    <row r="96" spans="1:10" x14ac:dyDescent="0.25">
      <c r="A96" s="105"/>
      <c r="B96" s="106"/>
      <c r="C96" s="106"/>
      <c r="D96" s="106"/>
      <c r="E96" s="106"/>
      <c r="F96" s="106"/>
      <c r="G96" s="106"/>
      <c r="H96" s="106"/>
      <c r="I96" s="106"/>
      <c r="J96" s="107"/>
    </row>
    <row r="97" spans="1:10" x14ac:dyDescent="0.25">
      <c r="A97" s="105"/>
      <c r="B97" s="106"/>
      <c r="C97" s="106"/>
      <c r="D97" s="106"/>
      <c r="E97" s="106"/>
      <c r="F97" s="106"/>
      <c r="G97" s="106"/>
      <c r="H97" s="106"/>
      <c r="I97" s="106"/>
      <c r="J97" s="107"/>
    </row>
    <row r="98" spans="1:10" x14ac:dyDescent="0.25">
      <c r="A98" s="105"/>
      <c r="B98" s="106"/>
      <c r="C98" s="106"/>
      <c r="D98" s="106"/>
      <c r="E98" s="106"/>
      <c r="F98" s="106"/>
      <c r="G98" s="106"/>
      <c r="H98" s="106"/>
      <c r="I98" s="106"/>
      <c r="J98" s="107"/>
    </row>
    <row r="99" spans="1:10" x14ac:dyDescent="0.25">
      <c r="A99" s="105"/>
      <c r="B99" s="106"/>
      <c r="C99" s="106"/>
      <c r="D99" s="106"/>
      <c r="E99" s="106"/>
      <c r="F99" s="106"/>
      <c r="G99" s="106"/>
      <c r="H99" s="106"/>
      <c r="I99" s="106"/>
      <c r="J99" s="107"/>
    </row>
    <row r="100" spans="1:10" x14ac:dyDescent="0.25">
      <c r="A100" s="105"/>
      <c r="B100" s="106"/>
      <c r="C100" s="106"/>
      <c r="D100" s="106"/>
      <c r="E100" s="106"/>
      <c r="F100" s="106"/>
      <c r="G100" s="106"/>
      <c r="H100" s="106"/>
      <c r="I100" s="106"/>
      <c r="J100" s="107"/>
    </row>
    <row r="101" spans="1:10" x14ac:dyDescent="0.25">
      <c r="A101" s="105"/>
      <c r="B101" s="106"/>
      <c r="C101" s="106"/>
      <c r="D101" s="106"/>
      <c r="E101" s="106"/>
      <c r="F101" s="106"/>
      <c r="G101" s="106"/>
      <c r="H101" s="106"/>
      <c r="I101" s="106"/>
      <c r="J101" s="107"/>
    </row>
    <row r="102" spans="1:10" x14ac:dyDescent="0.25">
      <c r="A102" s="105"/>
      <c r="B102" s="106"/>
      <c r="C102" s="106"/>
      <c r="D102" s="106"/>
      <c r="E102" s="106"/>
      <c r="F102" s="106"/>
      <c r="G102" s="106"/>
      <c r="H102" s="106"/>
      <c r="I102" s="106"/>
      <c r="J102" s="107"/>
    </row>
    <row r="103" spans="1:10" x14ac:dyDescent="0.25">
      <c r="A103" s="105"/>
      <c r="B103" s="106"/>
      <c r="C103" s="106"/>
      <c r="D103" s="106"/>
      <c r="E103" s="106"/>
      <c r="F103" s="106"/>
      <c r="G103" s="106"/>
      <c r="H103" s="106"/>
      <c r="I103" s="106"/>
      <c r="J103" s="107"/>
    </row>
    <row r="104" spans="1:10" x14ac:dyDescent="0.25">
      <c r="A104" s="105"/>
      <c r="B104" s="106"/>
      <c r="C104" s="106"/>
      <c r="D104" s="106"/>
      <c r="E104" s="106"/>
      <c r="F104" s="106"/>
      <c r="G104" s="106"/>
      <c r="H104" s="106"/>
      <c r="I104" s="106"/>
      <c r="J104" s="107"/>
    </row>
    <row r="105" spans="1:10" x14ac:dyDescent="0.25">
      <c r="A105" s="105"/>
      <c r="B105" s="106"/>
      <c r="C105" s="106"/>
      <c r="D105" s="106"/>
      <c r="E105" s="106"/>
      <c r="F105" s="106"/>
      <c r="G105" s="106"/>
      <c r="H105" s="106"/>
      <c r="I105" s="106"/>
      <c r="J105" s="107"/>
    </row>
    <row r="106" spans="1:10" x14ac:dyDescent="0.25">
      <c r="A106" s="105"/>
      <c r="B106" s="106"/>
      <c r="C106" s="106"/>
      <c r="D106" s="106"/>
      <c r="E106" s="106"/>
      <c r="F106" s="106"/>
      <c r="G106" s="106"/>
      <c r="H106" s="106"/>
      <c r="I106" s="106"/>
      <c r="J106" s="107"/>
    </row>
    <row r="107" spans="1:10" ht="15" customHeight="1" x14ac:dyDescent="0.25">
      <c r="A107" s="122" t="s">
        <v>623</v>
      </c>
      <c r="B107" s="123"/>
      <c r="C107" s="123"/>
      <c r="D107" s="123"/>
      <c r="E107" s="123"/>
      <c r="F107" s="123"/>
      <c r="G107" s="123"/>
      <c r="H107" s="123"/>
      <c r="I107" s="123"/>
      <c r="J107" s="124"/>
    </row>
    <row r="108" spans="1:10" x14ac:dyDescent="0.25">
      <c r="A108" s="122"/>
      <c r="B108" s="123"/>
      <c r="C108" s="123"/>
      <c r="D108" s="123"/>
      <c r="E108" s="123"/>
      <c r="F108" s="123"/>
      <c r="G108" s="123"/>
      <c r="H108" s="123"/>
      <c r="I108" s="123"/>
      <c r="J108" s="124"/>
    </row>
    <row r="109" spans="1:10" x14ac:dyDescent="0.25">
      <c r="A109" s="122"/>
      <c r="B109" s="123"/>
      <c r="C109" s="123"/>
      <c r="D109" s="123"/>
      <c r="E109" s="123"/>
      <c r="F109" s="123"/>
      <c r="G109" s="123"/>
      <c r="H109" s="123"/>
      <c r="I109" s="123"/>
      <c r="J109" s="124"/>
    </row>
    <row r="110" spans="1:10" x14ac:dyDescent="0.25">
      <c r="A110" s="122"/>
      <c r="B110" s="123"/>
      <c r="C110" s="123"/>
      <c r="D110" s="123"/>
      <c r="E110" s="123"/>
      <c r="F110" s="123"/>
      <c r="G110" s="123"/>
      <c r="H110" s="123"/>
      <c r="I110" s="123"/>
      <c r="J110" s="124"/>
    </row>
    <row r="111" spans="1:10" x14ac:dyDescent="0.25">
      <c r="A111" s="122"/>
      <c r="B111" s="123"/>
      <c r="C111" s="123"/>
      <c r="D111" s="123"/>
      <c r="E111" s="123"/>
      <c r="F111" s="123"/>
      <c r="G111" s="123"/>
      <c r="H111" s="123"/>
      <c r="I111" s="123"/>
      <c r="J111" s="124"/>
    </row>
    <row r="112" spans="1:10" x14ac:dyDescent="0.25">
      <c r="A112" s="122"/>
      <c r="B112" s="123"/>
      <c r="C112" s="123"/>
      <c r="D112" s="123"/>
      <c r="E112" s="123"/>
      <c r="F112" s="123"/>
      <c r="G112" s="123"/>
      <c r="H112" s="123"/>
      <c r="I112" s="123"/>
      <c r="J112" s="124"/>
    </row>
    <row r="113" spans="1:10" x14ac:dyDescent="0.25">
      <c r="A113" s="122"/>
      <c r="B113" s="123"/>
      <c r="C113" s="123"/>
      <c r="D113" s="123"/>
      <c r="E113" s="123"/>
      <c r="F113" s="123"/>
      <c r="G113" s="123"/>
      <c r="H113" s="123"/>
      <c r="I113" s="123"/>
      <c r="J113" s="124"/>
    </row>
    <row r="114" spans="1:10" x14ac:dyDescent="0.25">
      <c r="A114" s="122"/>
      <c r="B114" s="123"/>
      <c r="C114" s="123"/>
      <c r="D114" s="123"/>
      <c r="E114" s="123"/>
      <c r="F114" s="123"/>
      <c r="G114" s="123"/>
      <c r="H114" s="123"/>
      <c r="I114" s="123"/>
      <c r="J114" s="124"/>
    </row>
    <row r="115" spans="1:10" x14ac:dyDescent="0.25">
      <c r="A115" s="122"/>
      <c r="B115" s="123"/>
      <c r="C115" s="123"/>
      <c r="D115" s="123"/>
      <c r="E115" s="123"/>
      <c r="F115" s="123"/>
      <c r="G115" s="123"/>
      <c r="H115" s="123"/>
      <c r="I115" s="123"/>
      <c r="J115" s="124"/>
    </row>
    <row r="116" spans="1:10" x14ac:dyDescent="0.25">
      <c r="A116" s="122"/>
      <c r="B116" s="123"/>
      <c r="C116" s="123"/>
      <c r="D116" s="123"/>
      <c r="E116" s="123"/>
      <c r="F116" s="123"/>
      <c r="G116" s="123"/>
      <c r="H116" s="123"/>
      <c r="I116" s="123"/>
      <c r="J116" s="124"/>
    </row>
    <row r="117" spans="1:10" x14ac:dyDescent="0.25">
      <c r="A117" s="122"/>
      <c r="B117" s="123"/>
      <c r="C117" s="123"/>
      <c r="D117" s="123"/>
      <c r="E117" s="123"/>
      <c r="F117" s="123"/>
      <c r="G117" s="123"/>
      <c r="H117" s="123"/>
      <c r="I117" s="123"/>
      <c r="J117" s="124"/>
    </row>
    <row r="118" spans="1:10" x14ac:dyDescent="0.25">
      <c r="A118" s="122"/>
      <c r="B118" s="123"/>
      <c r="C118" s="123"/>
      <c r="D118" s="123"/>
      <c r="E118" s="123"/>
      <c r="F118" s="123"/>
      <c r="G118" s="123"/>
      <c r="H118" s="123"/>
      <c r="I118" s="123"/>
      <c r="J118" s="124"/>
    </row>
    <row r="119" spans="1:10" x14ac:dyDescent="0.25">
      <c r="A119" s="122"/>
      <c r="B119" s="123"/>
      <c r="C119" s="123"/>
      <c r="D119" s="123"/>
      <c r="E119" s="123"/>
      <c r="F119" s="123"/>
      <c r="G119" s="123"/>
      <c r="H119" s="123"/>
      <c r="I119" s="123"/>
      <c r="J119" s="124"/>
    </row>
    <row r="120" spans="1:10" x14ac:dyDescent="0.25">
      <c r="A120" s="122"/>
      <c r="B120" s="123"/>
      <c r="C120" s="123"/>
      <c r="D120" s="123"/>
      <c r="E120" s="123"/>
      <c r="F120" s="123"/>
      <c r="G120" s="123"/>
      <c r="H120" s="123"/>
      <c r="I120" s="123"/>
      <c r="J120" s="124"/>
    </row>
    <row r="121" spans="1:10" x14ac:dyDescent="0.25">
      <c r="A121" s="122"/>
      <c r="B121" s="123"/>
      <c r="C121" s="123"/>
      <c r="D121" s="123"/>
      <c r="E121" s="123"/>
      <c r="F121" s="123"/>
      <c r="G121" s="123"/>
      <c r="H121" s="123"/>
      <c r="I121" s="123"/>
      <c r="J121" s="124"/>
    </row>
    <row r="122" spans="1:10" x14ac:dyDescent="0.25">
      <c r="A122" s="122"/>
      <c r="B122" s="123"/>
      <c r="C122" s="123"/>
      <c r="D122" s="123"/>
      <c r="E122" s="123"/>
      <c r="F122" s="123"/>
      <c r="G122" s="123"/>
      <c r="H122" s="123"/>
      <c r="I122" s="123"/>
      <c r="J122" s="124"/>
    </row>
    <row r="123" spans="1:10" x14ac:dyDescent="0.25">
      <c r="A123" s="122"/>
      <c r="B123" s="123"/>
      <c r="C123" s="123"/>
      <c r="D123" s="123"/>
      <c r="E123" s="123"/>
      <c r="F123" s="123"/>
      <c r="G123" s="123"/>
      <c r="H123" s="123"/>
      <c r="I123" s="123"/>
      <c r="J123" s="124"/>
    </row>
    <row r="124" spans="1:10" x14ac:dyDescent="0.25">
      <c r="A124" s="122"/>
      <c r="B124" s="123"/>
      <c r="C124" s="123"/>
      <c r="D124" s="123"/>
      <c r="E124" s="123"/>
      <c r="F124" s="123"/>
      <c r="G124" s="123"/>
      <c r="H124" s="123"/>
      <c r="I124" s="123"/>
      <c r="J124" s="124"/>
    </row>
    <row r="125" spans="1:10" x14ac:dyDescent="0.25">
      <c r="A125" s="122"/>
      <c r="B125" s="123"/>
      <c r="C125" s="123"/>
      <c r="D125" s="123"/>
      <c r="E125" s="123"/>
      <c r="F125" s="123"/>
      <c r="G125" s="123"/>
      <c r="H125" s="123"/>
      <c r="I125" s="123"/>
      <c r="J125" s="124"/>
    </row>
    <row r="126" spans="1:10" x14ac:dyDescent="0.25">
      <c r="A126" s="122"/>
      <c r="B126" s="123"/>
      <c r="C126" s="123"/>
      <c r="D126" s="123"/>
      <c r="E126" s="123"/>
      <c r="F126" s="123"/>
      <c r="G126" s="123"/>
      <c r="H126" s="123"/>
      <c r="I126" s="123"/>
      <c r="J126" s="124"/>
    </row>
    <row r="127" spans="1:10" x14ac:dyDescent="0.25">
      <c r="A127" s="122"/>
      <c r="B127" s="123"/>
      <c r="C127" s="123"/>
      <c r="D127" s="123"/>
      <c r="E127" s="123"/>
      <c r="F127" s="123"/>
      <c r="G127" s="123"/>
      <c r="H127" s="123"/>
      <c r="I127" s="123"/>
      <c r="J127" s="124"/>
    </row>
    <row r="128" spans="1:10" x14ac:dyDescent="0.25">
      <c r="A128" s="122"/>
      <c r="B128" s="123"/>
      <c r="C128" s="123"/>
      <c r="D128" s="123"/>
      <c r="E128" s="123"/>
      <c r="F128" s="123"/>
      <c r="G128" s="123"/>
      <c r="H128" s="123"/>
      <c r="I128" s="123"/>
      <c r="J128" s="124"/>
    </row>
    <row r="129" spans="1:10" x14ac:dyDescent="0.25">
      <c r="A129" s="122"/>
      <c r="B129" s="123"/>
      <c r="C129" s="123"/>
      <c r="D129" s="123"/>
      <c r="E129" s="123"/>
      <c r="F129" s="123"/>
      <c r="G129" s="123"/>
      <c r="H129" s="123"/>
      <c r="I129" s="123"/>
      <c r="J129" s="124"/>
    </row>
    <row r="130" spans="1:10" x14ac:dyDescent="0.25">
      <c r="A130" s="122"/>
      <c r="B130" s="123"/>
      <c r="C130" s="123"/>
      <c r="D130" s="123"/>
      <c r="E130" s="123"/>
      <c r="F130" s="123"/>
      <c r="G130" s="123"/>
      <c r="H130" s="123"/>
      <c r="I130" s="123"/>
      <c r="J130" s="124"/>
    </row>
    <row r="131" spans="1:10" ht="15" customHeight="1" x14ac:dyDescent="0.25">
      <c r="A131" s="122" t="s">
        <v>624</v>
      </c>
      <c r="B131" s="123"/>
      <c r="C131" s="123"/>
      <c r="D131" s="123"/>
      <c r="E131" s="123"/>
      <c r="F131" s="123"/>
      <c r="G131" s="123"/>
      <c r="H131" s="123"/>
      <c r="I131" s="123"/>
      <c r="J131" s="124"/>
    </row>
    <row r="132" spans="1:10" x14ac:dyDescent="0.25">
      <c r="A132" s="122"/>
      <c r="B132" s="123"/>
      <c r="C132" s="123"/>
      <c r="D132" s="123"/>
      <c r="E132" s="123"/>
      <c r="F132" s="123"/>
      <c r="G132" s="123"/>
      <c r="H132" s="123"/>
      <c r="I132" s="123"/>
      <c r="J132" s="124"/>
    </row>
    <row r="133" spans="1:10" x14ac:dyDescent="0.25">
      <c r="A133" s="122"/>
      <c r="B133" s="123"/>
      <c r="C133" s="123"/>
      <c r="D133" s="123"/>
      <c r="E133" s="123"/>
      <c r="F133" s="123"/>
      <c r="G133" s="123"/>
      <c r="H133" s="123"/>
      <c r="I133" s="123"/>
      <c r="J133" s="124"/>
    </row>
    <row r="134" spans="1:10" x14ac:dyDescent="0.25">
      <c r="A134" s="122"/>
      <c r="B134" s="123"/>
      <c r="C134" s="123"/>
      <c r="D134" s="123"/>
      <c r="E134" s="123"/>
      <c r="F134" s="123"/>
      <c r="G134" s="123"/>
      <c r="H134" s="123"/>
      <c r="I134" s="123"/>
      <c r="J134" s="124"/>
    </row>
    <row r="135" spans="1:10" x14ac:dyDescent="0.25">
      <c r="A135" s="122"/>
      <c r="B135" s="123"/>
      <c r="C135" s="123"/>
      <c r="D135" s="123"/>
      <c r="E135" s="123"/>
      <c r="F135" s="123"/>
      <c r="G135" s="123"/>
      <c r="H135" s="123"/>
      <c r="I135" s="123"/>
      <c r="J135" s="124"/>
    </row>
    <row r="136" spans="1:10" x14ac:dyDescent="0.25">
      <c r="A136" s="122"/>
      <c r="B136" s="123"/>
      <c r="C136" s="123"/>
      <c r="D136" s="123"/>
      <c r="E136" s="123"/>
      <c r="F136" s="123"/>
      <c r="G136" s="123"/>
      <c r="H136" s="123"/>
      <c r="I136" s="123"/>
      <c r="J136" s="124"/>
    </row>
    <row r="137" spans="1:10" x14ac:dyDescent="0.25">
      <c r="A137" s="122"/>
      <c r="B137" s="123"/>
      <c r="C137" s="123"/>
      <c r="D137" s="123"/>
      <c r="E137" s="123"/>
      <c r="F137" s="123"/>
      <c r="G137" s="123"/>
      <c r="H137" s="123"/>
      <c r="I137" s="123"/>
      <c r="J137" s="124"/>
    </row>
    <row r="138" spans="1:10" x14ac:dyDescent="0.25">
      <c r="A138" s="122"/>
      <c r="B138" s="123"/>
      <c r="C138" s="123"/>
      <c r="D138" s="123"/>
      <c r="E138" s="123"/>
      <c r="F138" s="123"/>
      <c r="G138" s="123"/>
      <c r="H138" s="123"/>
      <c r="I138" s="123"/>
      <c r="J138" s="124"/>
    </row>
    <row r="139" spans="1:10" x14ac:dyDescent="0.25">
      <c r="A139" s="122"/>
      <c r="B139" s="123"/>
      <c r="C139" s="123"/>
      <c r="D139" s="123"/>
      <c r="E139" s="123"/>
      <c r="F139" s="123"/>
      <c r="G139" s="123"/>
      <c r="H139" s="123"/>
      <c r="I139" s="123"/>
      <c r="J139" s="124"/>
    </row>
    <row r="140" spans="1:10" x14ac:dyDescent="0.25">
      <c r="A140" s="122"/>
      <c r="B140" s="123"/>
      <c r="C140" s="123"/>
      <c r="D140" s="123"/>
      <c r="E140" s="123"/>
      <c r="F140" s="123"/>
      <c r="G140" s="123"/>
      <c r="H140" s="123"/>
      <c r="I140" s="123"/>
      <c r="J140" s="124"/>
    </row>
    <row r="141" spans="1:10" x14ac:dyDescent="0.25">
      <c r="A141" s="122"/>
      <c r="B141" s="123"/>
      <c r="C141" s="123"/>
      <c r="D141" s="123"/>
      <c r="E141" s="123"/>
      <c r="F141" s="123"/>
      <c r="G141" s="123"/>
      <c r="H141" s="123"/>
      <c r="I141" s="123"/>
      <c r="J141" s="124"/>
    </row>
    <row r="142" spans="1:10" x14ac:dyDescent="0.25">
      <c r="A142" s="122"/>
      <c r="B142" s="123"/>
      <c r="C142" s="123"/>
      <c r="D142" s="123"/>
      <c r="E142" s="123"/>
      <c r="F142" s="123"/>
      <c r="G142" s="123"/>
      <c r="H142" s="123"/>
      <c r="I142" s="123"/>
      <c r="J142" s="124"/>
    </row>
    <row r="143" spans="1:10" x14ac:dyDescent="0.25">
      <c r="A143" s="122"/>
      <c r="B143" s="123"/>
      <c r="C143" s="123"/>
      <c r="D143" s="123"/>
      <c r="E143" s="123"/>
      <c r="F143" s="123"/>
      <c r="G143" s="123"/>
      <c r="H143" s="123"/>
      <c r="I143" s="123"/>
      <c r="J143" s="124"/>
    </row>
    <row r="144" spans="1:10" x14ac:dyDescent="0.25">
      <c r="A144" s="122"/>
      <c r="B144" s="123"/>
      <c r="C144" s="123"/>
      <c r="D144" s="123"/>
      <c r="E144" s="123"/>
      <c r="F144" s="123"/>
      <c r="G144" s="123"/>
      <c r="H144" s="123"/>
      <c r="I144" s="123"/>
      <c r="J144" s="124"/>
    </row>
    <row r="145" spans="1:10" x14ac:dyDescent="0.25">
      <c r="A145" s="122"/>
      <c r="B145" s="123"/>
      <c r="C145" s="123"/>
      <c r="D145" s="123"/>
      <c r="E145" s="123"/>
      <c r="F145" s="123"/>
      <c r="G145" s="123"/>
      <c r="H145" s="123"/>
      <c r="I145" s="123"/>
      <c r="J145" s="124"/>
    </row>
    <row r="146" spans="1:10" x14ac:dyDescent="0.25">
      <c r="A146" s="122"/>
      <c r="B146" s="123"/>
      <c r="C146" s="123"/>
      <c r="D146" s="123"/>
      <c r="E146" s="123"/>
      <c r="F146" s="123"/>
      <c r="G146" s="123"/>
      <c r="H146" s="123"/>
      <c r="I146" s="123"/>
      <c r="J146" s="124"/>
    </row>
    <row r="147" spans="1:10" x14ac:dyDescent="0.25">
      <c r="A147" s="122"/>
      <c r="B147" s="123"/>
      <c r="C147" s="123"/>
      <c r="D147" s="123"/>
      <c r="E147" s="123"/>
      <c r="F147" s="123"/>
      <c r="G147" s="123"/>
      <c r="H147" s="123"/>
      <c r="I147" s="123"/>
      <c r="J147" s="124"/>
    </row>
    <row r="148" spans="1:10" x14ac:dyDescent="0.25">
      <c r="A148" s="122"/>
      <c r="B148" s="123"/>
      <c r="C148" s="123"/>
      <c r="D148" s="123"/>
      <c r="E148" s="123"/>
      <c r="F148" s="123"/>
      <c r="G148" s="123"/>
      <c r="H148" s="123"/>
      <c r="I148" s="123"/>
      <c r="J148" s="124"/>
    </row>
    <row r="149" spans="1:10" x14ac:dyDescent="0.25">
      <c r="A149" s="122"/>
      <c r="B149" s="123"/>
      <c r="C149" s="123"/>
      <c r="D149" s="123"/>
      <c r="E149" s="123"/>
      <c r="F149" s="123"/>
      <c r="G149" s="123"/>
      <c r="H149" s="123"/>
      <c r="I149" s="123"/>
      <c r="J149" s="124"/>
    </row>
    <row r="150" spans="1:10" x14ac:dyDescent="0.25">
      <c r="A150" s="122"/>
      <c r="B150" s="123"/>
      <c r="C150" s="123"/>
      <c r="D150" s="123"/>
      <c r="E150" s="123"/>
      <c r="F150" s="123"/>
      <c r="G150" s="123"/>
      <c r="H150" s="123"/>
      <c r="I150" s="123"/>
      <c r="J150" s="124"/>
    </row>
    <row r="151" spans="1:10" x14ac:dyDescent="0.25">
      <c r="A151" s="122"/>
      <c r="B151" s="123"/>
      <c r="C151" s="123"/>
      <c r="D151" s="123"/>
      <c r="E151" s="123"/>
      <c r="F151" s="123"/>
      <c r="G151" s="123"/>
      <c r="H151" s="123"/>
      <c r="I151" s="123"/>
      <c r="J151" s="124"/>
    </row>
    <row r="152" spans="1:10" x14ac:dyDescent="0.25">
      <c r="A152" s="122"/>
      <c r="B152" s="123"/>
      <c r="C152" s="123"/>
      <c r="D152" s="123"/>
      <c r="E152" s="123"/>
      <c r="F152" s="123"/>
      <c r="G152" s="123"/>
      <c r="H152" s="123"/>
      <c r="I152" s="123"/>
      <c r="J152" s="124"/>
    </row>
    <row r="153" spans="1:10" x14ac:dyDescent="0.25">
      <c r="A153" s="122"/>
      <c r="B153" s="123"/>
      <c r="C153" s="123"/>
      <c r="D153" s="123"/>
      <c r="E153" s="123"/>
      <c r="F153" s="123"/>
      <c r="G153" s="123"/>
      <c r="H153" s="123"/>
      <c r="I153" s="123"/>
      <c r="J153" s="124"/>
    </row>
    <row r="154" spans="1:10" x14ac:dyDescent="0.25">
      <c r="A154" s="122"/>
      <c r="B154" s="123"/>
      <c r="C154" s="123"/>
      <c r="D154" s="123"/>
      <c r="E154" s="123"/>
      <c r="F154" s="123"/>
      <c r="G154" s="123"/>
      <c r="H154" s="123"/>
      <c r="I154" s="123"/>
      <c r="J154" s="124"/>
    </row>
    <row r="155" spans="1:10" x14ac:dyDescent="0.25">
      <c r="A155" s="122"/>
      <c r="B155" s="123"/>
      <c r="C155" s="123"/>
      <c r="D155" s="123"/>
      <c r="E155" s="123"/>
      <c r="F155" s="123"/>
      <c r="G155" s="123"/>
      <c r="H155" s="123"/>
      <c r="I155" s="123"/>
      <c r="J155" s="124"/>
    </row>
    <row r="156" spans="1:10" x14ac:dyDescent="0.25">
      <c r="A156" s="122"/>
      <c r="B156" s="123"/>
      <c r="C156" s="123"/>
      <c r="D156" s="123"/>
      <c r="E156" s="123"/>
      <c r="F156" s="123"/>
      <c r="G156" s="123"/>
      <c r="H156" s="123"/>
      <c r="I156" s="123"/>
      <c r="J156" s="124"/>
    </row>
    <row r="157" spans="1:10" x14ac:dyDescent="0.25">
      <c r="A157" s="122"/>
      <c r="B157" s="123"/>
      <c r="C157" s="123"/>
      <c r="D157" s="123"/>
      <c r="E157" s="123"/>
      <c r="F157" s="123"/>
      <c r="G157" s="123"/>
      <c r="H157" s="123"/>
      <c r="I157" s="123"/>
      <c r="J157" s="124"/>
    </row>
    <row r="158" spans="1:10" x14ac:dyDescent="0.25">
      <c r="A158" s="122"/>
      <c r="B158" s="123"/>
      <c r="C158" s="123"/>
      <c r="D158" s="123"/>
      <c r="E158" s="123"/>
      <c r="F158" s="123"/>
      <c r="G158" s="123"/>
      <c r="H158" s="123"/>
      <c r="I158" s="123"/>
      <c r="J158" s="124"/>
    </row>
    <row r="159" spans="1:10" ht="15" customHeight="1" x14ac:dyDescent="0.25">
      <c r="A159" s="105" t="s">
        <v>625</v>
      </c>
      <c r="B159" s="106"/>
      <c r="C159" s="106"/>
      <c r="D159" s="106"/>
      <c r="E159" s="106"/>
      <c r="F159" s="106"/>
      <c r="G159" s="106"/>
      <c r="H159" s="106"/>
      <c r="I159" s="106"/>
      <c r="J159" s="107"/>
    </row>
    <row r="160" spans="1:10" x14ac:dyDescent="0.25">
      <c r="A160" s="105"/>
      <c r="B160" s="106"/>
      <c r="C160" s="106"/>
      <c r="D160" s="106"/>
      <c r="E160" s="106"/>
      <c r="F160" s="106"/>
      <c r="G160" s="106"/>
      <c r="H160" s="106"/>
      <c r="I160" s="106"/>
      <c r="J160" s="107"/>
    </row>
    <row r="161" spans="1:14" x14ac:dyDescent="0.25">
      <c r="A161" s="105"/>
      <c r="B161" s="106"/>
      <c r="C161" s="106"/>
      <c r="D161" s="106"/>
      <c r="E161" s="106"/>
      <c r="F161" s="106"/>
      <c r="G161" s="106"/>
      <c r="H161" s="106"/>
      <c r="I161" s="106"/>
      <c r="J161" s="107"/>
    </row>
    <row r="162" spans="1:14" x14ac:dyDescent="0.25">
      <c r="A162" s="105"/>
      <c r="B162" s="106"/>
      <c r="C162" s="106"/>
      <c r="D162" s="106"/>
      <c r="E162" s="106"/>
      <c r="F162" s="106"/>
      <c r="G162" s="106"/>
      <c r="H162" s="106"/>
      <c r="I162" s="106"/>
      <c r="J162" s="107"/>
    </row>
    <row r="163" spans="1:14" x14ac:dyDescent="0.25">
      <c r="A163" s="105"/>
      <c r="B163" s="106"/>
      <c r="C163" s="106"/>
      <c r="D163" s="106"/>
      <c r="E163" s="106"/>
      <c r="F163" s="106"/>
      <c r="G163" s="106"/>
      <c r="H163" s="106"/>
      <c r="I163" s="106"/>
      <c r="J163" s="107"/>
    </row>
    <row r="164" spans="1:14" x14ac:dyDescent="0.25">
      <c r="A164" s="105"/>
      <c r="B164" s="106"/>
      <c r="C164" s="106"/>
      <c r="D164" s="106"/>
      <c r="E164" s="106"/>
      <c r="F164" s="106"/>
      <c r="G164" s="106"/>
      <c r="H164" s="106"/>
      <c r="I164" s="106"/>
      <c r="J164" s="107"/>
    </row>
    <row r="165" spans="1:14" x14ac:dyDescent="0.25">
      <c r="A165" s="105"/>
      <c r="B165" s="106"/>
      <c r="C165" s="106"/>
      <c r="D165" s="106"/>
      <c r="E165" s="106"/>
      <c r="F165" s="106"/>
      <c r="G165" s="106"/>
      <c r="H165" s="106"/>
      <c r="I165" s="106"/>
      <c r="J165" s="107"/>
    </row>
    <row r="166" spans="1:14" x14ac:dyDescent="0.25">
      <c r="A166" s="105"/>
      <c r="B166" s="106"/>
      <c r="C166" s="106"/>
      <c r="D166" s="106"/>
      <c r="E166" s="106"/>
      <c r="F166" s="106"/>
      <c r="G166" s="106"/>
      <c r="H166" s="106"/>
      <c r="I166" s="106"/>
      <c r="J166" s="107"/>
    </row>
    <row r="167" spans="1:14" x14ac:dyDescent="0.25">
      <c r="A167" s="105"/>
      <c r="B167" s="106"/>
      <c r="C167" s="106"/>
      <c r="D167" s="106"/>
      <c r="E167" s="106"/>
      <c r="F167" s="106"/>
      <c r="G167" s="106"/>
      <c r="H167" s="106"/>
      <c r="I167" s="106"/>
      <c r="J167" s="107"/>
    </row>
    <row r="168" spans="1:14" x14ac:dyDescent="0.25">
      <c r="A168" s="105"/>
      <c r="B168" s="106"/>
      <c r="C168" s="106"/>
      <c r="D168" s="106"/>
      <c r="E168" s="106"/>
      <c r="F168" s="106"/>
      <c r="G168" s="106"/>
      <c r="H168" s="106"/>
      <c r="I168" s="106"/>
      <c r="J168" s="107"/>
    </row>
    <row r="169" spans="1:14" x14ac:dyDescent="0.25">
      <c r="A169" s="105"/>
      <c r="B169" s="106"/>
      <c r="C169" s="106"/>
      <c r="D169" s="106"/>
      <c r="E169" s="106"/>
      <c r="F169" s="106"/>
      <c r="G169" s="106"/>
      <c r="H169" s="106"/>
      <c r="I169" s="106"/>
      <c r="J169" s="107"/>
    </row>
    <row r="170" spans="1:14" x14ac:dyDescent="0.25">
      <c r="A170" s="105"/>
      <c r="B170" s="106"/>
      <c r="C170" s="106"/>
      <c r="D170" s="106"/>
      <c r="E170" s="106"/>
      <c r="F170" s="106"/>
      <c r="G170" s="106"/>
      <c r="H170" s="106"/>
      <c r="I170" s="106"/>
      <c r="J170" s="107"/>
    </row>
    <row r="171" spans="1:14" x14ac:dyDescent="0.25">
      <c r="A171" s="105"/>
      <c r="B171" s="106"/>
      <c r="C171" s="106"/>
      <c r="D171" s="106"/>
      <c r="E171" s="106"/>
      <c r="F171" s="106"/>
      <c r="G171" s="106"/>
      <c r="H171" s="106"/>
      <c r="I171" s="106"/>
      <c r="J171" s="107"/>
    </row>
    <row r="172" spans="1:14" x14ac:dyDescent="0.25">
      <c r="A172" s="105"/>
      <c r="B172" s="106"/>
      <c r="C172" s="106"/>
      <c r="D172" s="106"/>
      <c r="E172" s="106"/>
      <c r="F172" s="106"/>
      <c r="G172" s="106"/>
      <c r="H172" s="106"/>
      <c r="I172" s="106"/>
      <c r="J172" s="107"/>
    </row>
    <row r="173" spans="1:14" x14ac:dyDescent="0.25">
      <c r="A173" s="105"/>
      <c r="B173" s="106"/>
      <c r="C173" s="106"/>
      <c r="D173" s="106"/>
      <c r="E173" s="106"/>
      <c r="F173" s="106"/>
      <c r="G173" s="106"/>
      <c r="H173" s="106"/>
      <c r="I173" s="106"/>
      <c r="J173" s="107"/>
      <c r="N173" s="94"/>
    </row>
    <row r="174" spans="1:14" x14ac:dyDescent="0.25">
      <c r="A174" s="105"/>
      <c r="B174" s="106"/>
      <c r="C174" s="106"/>
      <c r="D174" s="106"/>
      <c r="E174" s="106"/>
      <c r="F174" s="106"/>
      <c r="G174" s="106"/>
      <c r="H174" s="106"/>
      <c r="I174" s="106"/>
      <c r="J174" s="107"/>
    </row>
    <row r="175" spans="1:14" x14ac:dyDescent="0.25">
      <c r="A175" s="105"/>
      <c r="B175" s="106"/>
      <c r="C175" s="106"/>
      <c r="D175" s="106"/>
      <c r="E175" s="106"/>
      <c r="F175" s="106"/>
      <c r="G175" s="106"/>
      <c r="H175" s="106"/>
      <c r="I175" s="106"/>
      <c r="J175" s="107"/>
    </row>
    <row r="176" spans="1:14" x14ac:dyDescent="0.25">
      <c r="A176" s="105"/>
      <c r="B176" s="106"/>
      <c r="C176" s="106"/>
      <c r="D176" s="106"/>
      <c r="E176" s="106"/>
      <c r="F176" s="106"/>
      <c r="G176" s="106"/>
      <c r="H176" s="106"/>
      <c r="I176" s="106"/>
      <c r="J176" s="107"/>
    </row>
    <row r="177" spans="1:10" x14ac:dyDescent="0.25">
      <c r="A177" s="105"/>
      <c r="B177" s="106"/>
      <c r="C177" s="106"/>
      <c r="D177" s="106"/>
      <c r="E177" s="106"/>
      <c r="F177" s="106"/>
      <c r="G177" s="106"/>
      <c r="H177" s="106"/>
      <c r="I177" s="106"/>
      <c r="J177" s="107"/>
    </row>
    <row r="178" spans="1:10" x14ac:dyDescent="0.25">
      <c r="A178" s="105"/>
      <c r="B178" s="106"/>
      <c r="C178" s="106"/>
      <c r="D178" s="106"/>
      <c r="E178" s="106"/>
      <c r="F178" s="106"/>
      <c r="G178" s="106"/>
      <c r="H178" s="106"/>
      <c r="I178" s="106"/>
      <c r="J178" s="107"/>
    </row>
    <row r="179" spans="1:10" x14ac:dyDescent="0.25">
      <c r="A179" s="105"/>
      <c r="B179" s="106"/>
      <c r="C179" s="106"/>
      <c r="D179" s="106"/>
      <c r="E179" s="106"/>
      <c r="F179" s="106"/>
      <c r="G179" s="106"/>
      <c r="H179" s="106"/>
      <c r="I179" s="106"/>
      <c r="J179" s="107"/>
    </row>
    <row r="180" spans="1:10" x14ac:dyDescent="0.25">
      <c r="A180" s="105"/>
      <c r="B180" s="106"/>
      <c r="C180" s="106"/>
      <c r="D180" s="106"/>
      <c r="E180" s="106"/>
      <c r="F180" s="106"/>
      <c r="G180" s="106"/>
      <c r="H180" s="106"/>
      <c r="I180" s="106"/>
      <c r="J180" s="107"/>
    </row>
    <row r="181" spans="1:10" x14ac:dyDescent="0.25">
      <c r="A181" s="105"/>
      <c r="B181" s="106"/>
      <c r="C181" s="106"/>
      <c r="D181" s="106"/>
      <c r="E181" s="106"/>
      <c r="F181" s="106"/>
      <c r="G181" s="106"/>
      <c r="H181" s="106"/>
      <c r="I181" s="106"/>
      <c r="J181" s="107"/>
    </row>
    <row r="182" spans="1:10" x14ac:dyDescent="0.25">
      <c r="A182" s="105"/>
      <c r="B182" s="106"/>
      <c r="C182" s="106"/>
      <c r="D182" s="106"/>
      <c r="E182" s="106"/>
      <c r="F182" s="106"/>
      <c r="G182" s="106"/>
      <c r="H182" s="106"/>
      <c r="I182" s="106"/>
      <c r="J182" s="107"/>
    </row>
    <row r="183" spans="1:10" x14ac:dyDescent="0.25">
      <c r="A183" s="105"/>
      <c r="B183" s="106"/>
      <c r="C183" s="106"/>
      <c r="D183" s="106"/>
      <c r="E183" s="106"/>
      <c r="F183" s="106"/>
      <c r="G183" s="106"/>
      <c r="H183" s="106"/>
      <c r="I183" s="106"/>
      <c r="J183" s="107"/>
    </row>
    <row r="184" spans="1:10" x14ac:dyDescent="0.25">
      <c r="A184" s="105"/>
      <c r="B184" s="106"/>
      <c r="C184" s="106"/>
      <c r="D184" s="106"/>
      <c r="E184" s="106"/>
      <c r="F184" s="106"/>
      <c r="G184" s="106"/>
      <c r="H184" s="106"/>
      <c r="I184" s="106"/>
      <c r="J184" s="107"/>
    </row>
    <row r="185" spans="1:10" x14ac:dyDescent="0.25">
      <c r="A185" s="105"/>
      <c r="B185" s="106"/>
      <c r="C185" s="106"/>
      <c r="D185" s="106"/>
      <c r="E185" s="106"/>
      <c r="F185" s="106"/>
      <c r="G185" s="106"/>
      <c r="H185" s="106"/>
      <c r="I185" s="106"/>
      <c r="J185" s="107"/>
    </row>
    <row r="186" spans="1:10" x14ac:dyDescent="0.25">
      <c r="A186" s="105"/>
      <c r="B186" s="106"/>
      <c r="C186" s="106"/>
      <c r="D186" s="106"/>
      <c r="E186" s="106"/>
      <c r="F186" s="106"/>
      <c r="G186" s="106"/>
      <c r="H186" s="106"/>
      <c r="I186" s="106"/>
      <c r="J186" s="107"/>
    </row>
    <row r="187" spans="1:10" x14ac:dyDescent="0.25">
      <c r="A187" s="105"/>
      <c r="B187" s="106"/>
      <c r="C187" s="106"/>
      <c r="D187" s="106"/>
      <c r="E187" s="106"/>
      <c r="F187" s="106"/>
      <c r="G187" s="106"/>
      <c r="H187" s="106"/>
      <c r="I187" s="106"/>
      <c r="J187" s="107"/>
    </row>
    <row r="188" spans="1:10" x14ac:dyDescent="0.25">
      <c r="A188" s="105"/>
      <c r="B188" s="106"/>
      <c r="C188" s="106"/>
      <c r="D188" s="106"/>
      <c r="E188" s="106"/>
      <c r="F188" s="106"/>
      <c r="G188" s="106"/>
      <c r="H188" s="106"/>
      <c r="I188" s="106"/>
      <c r="J188" s="107"/>
    </row>
    <row r="189" spans="1:10" ht="15" customHeight="1" x14ac:dyDescent="0.25">
      <c r="A189" s="105" t="s">
        <v>626</v>
      </c>
      <c r="B189" s="106"/>
      <c r="C189" s="106"/>
      <c r="D189" s="106"/>
      <c r="E189" s="106"/>
      <c r="F189" s="106"/>
      <c r="G189" s="106"/>
      <c r="H189" s="106"/>
      <c r="I189" s="106"/>
      <c r="J189" s="107"/>
    </row>
    <row r="190" spans="1:10" x14ac:dyDescent="0.25">
      <c r="A190" s="105"/>
      <c r="B190" s="106"/>
      <c r="C190" s="106"/>
      <c r="D190" s="106"/>
      <c r="E190" s="106"/>
      <c r="F190" s="106"/>
      <c r="G190" s="106"/>
      <c r="H190" s="106"/>
      <c r="I190" s="106"/>
      <c r="J190" s="107"/>
    </row>
    <row r="191" spans="1:10" x14ac:dyDescent="0.25">
      <c r="A191" s="105"/>
      <c r="B191" s="106"/>
      <c r="C191" s="106"/>
      <c r="D191" s="106"/>
      <c r="E191" s="106"/>
      <c r="F191" s="106"/>
      <c r="G191" s="106"/>
      <c r="H191" s="106"/>
      <c r="I191" s="106"/>
      <c r="J191" s="107"/>
    </row>
    <row r="192" spans="1:10" x14ac:dyDescent="0.25">
      <c r="A192" s="105"/>
      <c r="B192" s="106"/>
      <c r="C192" s="106"/>
      <c r="D192" s="106"/>
      <c r="E192" s="106"/>
      <c r="F192" s="106"/>
      <c r="G192" s="106"/>
      <c r="H192" s="106"/>
      <c r="I192" s="106"/>
      <c r="J192" s="107"/>
    </row>
    <row r="193" spans="1:10" x14ac:dyDescent="0.25">
      <c r="A193" s="105"/>
      <c r="B193" s="106"/>
      <c r="C193" s="106"/>
      <c r="D193" s="106"/>
      <c r="E193" s="106"/>
      <c r="F193" s="106"/>
      <c r="G193" s="106"/>
      <c r="H193" s="106"/>
      <c r="I193" s="106"/>
      <c r="J193" s="107"/>
    </row>
    <row r="194" spans="1:10" x14ac:dyDescent="0.25">
      <c r="A194" s="105"/>
      <c r="B194" s="106"/>
      <c r="C194" s="106"/>
      <c r="D194" s="106"/>
      <c r="E194" s="106"/>
      <c r="F194" s="106"/>
      <c r="G194" s="106"/>
      <c r="H194" s="106"/>
      <c r="I194" s="106"/>
      <c r="J194" s="107"/>
    </row>
    <row r="195" spans="1:10" x14ac:dyDescent="0.25">
      <c r="A195" s="105"/>
      <c r="B195" s="106"/>
      <c r="C195" s="106"/>
      <c r="D195" s="106"/>
      <c r="E195" s="106"/>
      <c r="F195" s="106"/>
      <c r="G195" s="106"/>
      <c r="H195" s="106"/>
      <c r="I195" s="106"/>
      <c r="J195" s="107"/>
    </row>
    <row r="196" spans="1:10" x14ac:dyDescent="0.25">
      <c r="A196" s="105"/>
      <c r="B196" s="106"/>
      <c r="C196" s="106"/>
      <c r="D196" s="106"/>
      <c r="E196" s="106"/>
      <c r="F196" s="106"/>
      <c r="G196" s="106"/>
      <c r="H196" s="106"/>
      <c r="I196" s="106"/>
      <c r="J196" s="107"/>
    </row>
    <row r="197" spans="1:10" x14ac:dyDescent="0.25">
      <c r="A197" s="105"/>
      <c r="B197" s="106"/>
      <c r="C197" s="106"/>
      <c r="D197" s="106"/>
      <c r="E197" s="106"/>
      <c r="F197" s="106"/>
      <c r="G197" s="106"/>
      <c r="H197" s="106"/>
      <c r="I197" s="106"/>
      <c r="J197" s="107"/>
    </row>
    <row r="198" spans="1:10" x14ac:dyDescent="0.25">
      <c r="A198" s="105"/>
      <c r="B198" s="106"/>
      <c r="C198" s="106"/>
      <c r="D198" s="106"/>
      <c r="E198" s="106"/>
      <c r="F198" s="106"/>
      <c r="G198" s="106"/>
      <c r="H198" s="106"/>
      <c r="I198" s="106"/>
      <c r="J198" s="107"/>
    </row>
    <row r="199" spans="1:10" x14ac:dyDescent="0.25">
      <c r="A199" s="105"/>
      <c r="B199" s="106"/>
      <c r="C199" s="106"/>
      <c r="D199" s="106"/>
      <c r="E199" s="106"/>
      <c r="F199" s="106"/>
      <c r="G199" s="106"/>
      <c r="H199" s="106"/>
      <c r="I199" s="106"/>
      <c r="J199" s="107"/>
    </row>
    <row r="200" spans="1:10" x14ac:dyDescent="0.25">
      <c r="A200" s="105"/>
      <c r="B200" s="106"/>
      <c r="C200" s="106"/>
      <c r="D200" s="106"/>
      <c r="E200" s="106"/>
      <c r="F200" s="106"/>
      <c r="G200" s="106"/>
      <c r="H200" s="106"/>
      <c r="I200" s="106"/>
      <c r="J200" s="107"/>
    </row>
    <row r="201" spans="1:10" x14ac:dyDescent="0.25">
      <c r="A201" s="105"/>
      <c r="B201" s="106"/>
      <c r="C201" s="106"/>
      <c r="D201" s="106"/>
      <c r="E201" s="106"/>
      <c r="F201" s="106"/>
      <c r="G201" s="106"/>
      <c r="H201" s="106"/>
      <c r="I201" s="106"/>
      <c r="J201" s="107"/>
    </row>
    <row r="202" spans="1:10" x14ac:dyDescent="0.25">
      <c r="A202" s="105"/>
      <c r="B202" s="106"/>
      <c r="C202" s="106"/>
      <c r="D202" s="106"/>
      <c r="E202" s="106"/>
      <c r="F202" s="106"/>
      <c r="G202" s="106"/>
      <c r="H202" s="106"/>
      <c r="I202" s="106"/>
      <c r="J202" s="107"/>
    </row>
    <row r="203" spans="1:10" x14ac:dyDescent="0.25">
      <c r="A203" s="105"/>
      <c r="B203" s="106"/>
      <c r="C203" s="106"/>
      <c r="D203" s="106"/>
      <c r="E203" s="106"/>
      <c r="F203" s="106"/>
      <c r="G203" s="106"/>
      <c r="H203" s="106"/>
      <c r="I203" s="106"/>
      <c r="J203" s="107"/>
    </row>
    <row r="204" spans="1:10" x14ac:dyDescent="0.25">
      <c r="A204" s="105"/>
      <c r="B204" s="106"/>
      <c r="C204" s="106"/>
      <c r="D204" s="106"/>
      <c r="E204" s="106"/>
      <c r="F204" s="106"/>
      <c r="G204" s="106"/>
      <c r="H204" s="106"/>
      <c r="I204" s="106"/>
      <c r="J204" s="107"/>
    </row>
    <row r="205" spans="1:10" x14ac:dyDescent="0.25">
      <c r="A205" s="105"/>
      <c r="B205" s="106"/>
      <c r="C205" s="106"/>
      <c r="D205" s="106"/>
      <c r="E205" s="106"/>
      <c r="F205" s="106"/>
      <c r="G205" s="106"/>
      <c r="H205" s="106"/>
      <c r="I205" s="106"/>
      <c r="J205" s="107"/>
    </row>
    <row r="206" spans="1:10" x14ac:dyDescent="0.25">
      <c r="A206" s="105"/>
      <c r="B206" s="106"/>
      <c r="C206" s="106"/>
      <c r="D206" s="106"/>
      <c r="E206" s="106"/>
      <c r="F206" s="106"/>
      <c r="G206" s="106"/>
      <c r="H206" s="106"/>
      <c r="I206" s="106"/>
      <c r="J206" s="107"/>
    </row>
    <row r="207" spans="1:10" x14ac:dyDescent="0.25">
      <c r="A207" s="105"/>
      <c r="B207" s="106"/>
      <c r="C207" s="106"/>
      <c r="D207" s="106"/>
      <c r="E207" s="106"/>
      <c r="F207" s="106"/>
      <c r="G207" s="106"/>
      <c r="H207" s="106"/>
      <c r="I207" s="106"/>
      <c r="J207" s="107"/>
    </row>
    <row r="208" spans="1:10" x14ac:dyDescent="0.25">
      <c r="A208" s="105"/>
      <c r="B208" s="106"/>
      <c r="C208" s="106"/>
      <c r="D208" s="106"/>
      <c r="E208" s="106"/>
      <c r="F208" s="106"/>
      <c r="G208" s="106"/>
      <c r="H208" s="106"/>
      <c r="I208" s="106"/>
      <c r="J208" s="107"/>
    </row>
    <row r="209" spans="1:10" x14ac:dyDescent="0.25">
      <c r="A209" s="105"/>
      <c r="B209" s="106"/>
      <c r="C209" s="106"/>
      <c r="D209" s="106"/>
      <c r="E209" s="106"/>
      <c r="F209" s="106"/>
      <c r="G209" s="106"/>
      <c r="H209" s="106"/>
      <c r="I209" s="106"/>
      <c r="J209" s="107"/>
    </row>
    <row r="210" spans="1:10" x14ac:dyDescent="0.25">
      <c r="A210" s="105"/>
      <c r="B210" s="106"/>
      <c r="C210" s="106"/>
      <c r="D210" s="106"/>
      <c r="E210" s="106"/>
      <c r="F210" s="106"/>
      <c r="G210" s="106"/>
      <c r="H210" s="106"/>
      <c r="I210" s="106"/>
      <c r="J210" s="107"/>
    </row>
    <row r="211" spans="1:10" x14ac:dyDescent="0.25">
      <c r="A211" s="105"/>
      <c r="B211" s="106"/>
      <c r="C211" s="106"/>
      <c r="D211" s="106"/>
      <c r="E211" s="106"/>
      <c r="F211" s="106"/>
      <c r="G211" s="106"/>
      <c r="H211" s="106"/>
      <c r="I211" s="106"/>
      <c r="J211" s="107"/>
    </row>
    <row r="212" spans="1:10" ht="15" customHeight="1" x14ac:dyDescent="0.25">
      <c r="A212" s="105" t="s">
        <v>627</v>
      </c>
      <c r="B212" s="106"/>
      <c r="C212" s="106"/>
      <c r="D212" s="106"/>
      <c r="E212" s="106"/>
      <c r="F212" s="106"/>
      <c r="G212" s="106"/>
      <c r="H212" s="106"/>
      <c r="I212" s="106"/>
      <c r="J212" s="107"/>
    </row>
    <row r="213" spans="1:10" x14ac:dyDescent="0.25">
      <c r="A213" s="105"/>
      <c r="B213" s="106"/>
      <c r="C213" s="106"/>
      <c r="D213" s="106"/>
      <c r="E213" s="106"/>
      <c r="F213" s="106"/>
      <c r="G213" s="106"/>
      <c r="H213" s="106"/>
      <c r="I213" s="106"/>
      <c r="J213" s="107"/>
    </row>
    <row r="214" spans="1:10" x14ac:dyDescent="0.25">
      <c r="A214" s="105"/>
      <c r="B214" s="106"/>
      <c r="C214" s="106"/>
      <c r="D214" s="106"/>
      <c r="E214" s="106"/>
      <c r="F214" s="106"/>
      <c r="G214" s="106"/>
      <c r="H214" s="106"/>
      <c r="I214" s="106"/>
      <c r="J214" s="107"/>
    </row>
    <row r="215" spans="1:10" x14ac:dyDescent="0.25">
      <c r="A215" s="105"/>
      <c r="B215" s="106"/>
      <c r="C215" s="106"/>
      <c r="D215" s="106"/>
      <c r="E215" s="106"/>
      <c r="F215" s="106"/>
      <c r="G215" s="106"/>
      <c r="H215" s="106"/>
      <c r="I215" s="106"/>
      <c r="J215" s="107"/>
    </row>
    <row r="216" spans="1:10" x14ac:dyDescent="0.25">
      <c r="A216" s="105"/>
      <c r="B216" s="106"/>
      <c r="C216" s="106"/>
      <c r="D216" s="106"/>
      <c r="E216" s="106"/>
      <c r="F216" s="106"/>
      <c r="G216" s="106"/>
      <c r="H216" s="106"/>
      <c r="I216" s="106"/>
      <c r="J216" s="107"/>
    </row>
    <row r="217" spans="1:10" ht="15" customHeight="1" x14ac:dyDescent="0.25">
      <c r="A217" s="105" t="s">
        <v>628</v>
      </c>
      <c r="B217" s="106"/>
      <c r="C217" s="106"/>
      <c r="D217" s="106"/>
      <c r="E217" s="106"/>
      <c r="F217" s="106"/>
      <c r="G217" s="106"/>
      <c r="H217" s="106"/>
      <c r="I217" s="106"/>
      <c r="J217" s="107"/>
    </row>
    <row r="218" spans="1:10" x14ac:dyDescent="0.25">
      <c r="A218" s="105"/>
      <c r="B218" s="106"/>
      <c r="C218" s="106"/>
      <c r="D218" s="106"/>
      <c r="E218" s="106"/>
      <c r="F218" s="106"/>
      <c r="G218" s="106"/>
      <c r="H218" s="106"/>
      <c r="I218" s="106"/>
      <c r="J218" s="107"/>
    </row>
    <row r="219" spans="1:10" x14ac:dyDescent="0.25">
      <c r="A219" s="105"/>
      <c r="B219" s="106"/>
      <c r="C219" s="106"/>
      <c r="D219" s="106"/>
      <c r="E219" s="106"/>
      <c r="F219" s="106"/>
      <c r="G219" s="106"/>
      <c r="H219" s="106"/>
      <c r="I219" s="106"/>
      <c r="J219" s="107"/>
    </row>
    <row r="220" spans="1:10" x14ac:dyDescent="0.25">
      <c r="A220" s="105"/>
      <c r="B220" s="106"/>
      <c r="C220" s="106"/>
      <c r="D220" s="106"/>
      <c r="E220" s="106"/>
      <c r="F220" s="106"/>
      <c r="G220" s="106"/>
      <c r="H220" s="106"/>
      <c r="I220" s="106"/>
      <c r="J220" s="107"/>
    </row>
    <row r="221" spans="1:10" x14ac:dyDescent="0.25">
      <c r="A221" s="105"/>
      <c r="B221" s="106"/>
      <c r="C221" s="106"/>
      <c r="D221" s="106"/>
      <c r="E221" s="106"/>
      <c r="F221" s="106"/>
      <c r="G221" s="106"/>
      <c r="H221" s="106"/>
      <c r="I221" s="106"/>
      <c r="J221" s="107"/>
    </row>
    <row r="222" spans="1:10" x14ac:dyDescent="0.25">
      <c r="A222" s="105"/>
      <c r="B222" s="106"/>
      <c r="C222" s="106"/>
      <c r="D222" s="106"/>
      <c r="E222" s="106"/>
      <c r="F222" s="106"/>
      <c r="G222" s="106"/>
      <c r="H222" s="106"/>
      <c r="I222" s="106"/>
      <c r="J222" s="107"/>
    </row>
    <row r="223" spans="1:10" x14ac:dyDescent="0.25">
      <c r="A223" s="105"/>
      <c r="B223" s="106"/>
      <c r="C223" s="106"/>
      <c r="D223" s="106"/>
      <c r="E223" s="106"/>
      <c r="F223" s="106"/>
      <c r="G223" s="106"/>
      <c r="H223" s="106"/>
      <c r="I223" s="106"/>
      <c r="J223" s="107"/>
    </row>
    <row r="224" spans="1:10" x14ac:dyDescent="0.25">
      <c r="A224" s="105"/>
      <c r="B224" s="106"/>
      <c r="C224" s="106"/>
      <c r="D224" s="106"/>
      <c r="E224" s="106"/>
      <c r="F224" s="106"/>
      <c r="G224" s="106"/>
      <c r="H224" s="106"/>
      <c r="I224" s="106"/>
      <c r="J224" s="107"/>
    </row>
    <row r="225" spans="1:10" x14ac:dyDescent="0.25">
      <c r="A225" s="105"/>
      <c r="B225" s="106"/>
      <c r="C225" s="106"/>
      <c r="D225" s="106"/>
      <c r="E225" s="106"/>
      <c r="F225" s="106"/>
      <c r="G225" s="106"/>
      <c r="H225" s="106"/>
      <c r="I225" s="106"/>
      <c r="J225" s="107"/>
    </row>
    <row r="226" spans="1:10" x14ac:dyDescent="0.25">
      <c r="A226" s="105"/>
      <c r="B226" s="106"/>
      <c r="C226" s="106"/>
      <c r="D226" s="106"/>
      <c r="E226" s="106"/>
      <c r="F226" s="106"/>
      <c r="G226" s="106"/>
      <c r="H226" s="106"/>
      <c r="I226" s="106"/>
      <c r="J226" s="107"/>
    </row>
    <row r="227" spans="1:10" x14ac:dyDescent="0.25">
      <c r="A227" s="105"/>
      <c r="B227" s="106"/>
      <c r="C227" s="106"/>
      <c r="D227" s="106"/>
      <c r="E227" s="106"/>
      <c r="F227" s="106"/>
      <c r="G227" s="106"/>
      <c r="H227" s="106"/>
      <c r="I227" s="106"/>
      <c r="J227" s="107"/>
    </row>
    <row r="228" spans="1:10" x14ac:dyDescent="0.25">
      <c r="A228" s="105"/>
      <c r="B228" s="106"/>
      <c r="C228" s="106"/>
      <c r="D228" s="106"/>
      <c r="E228" s="106"/>
      <c r="F228" s="106"/>
      <c r="G228" s="106"/>
      <c r="H228" s="106"/>
      <c r="I228" s="106"/>
      <c r="J228" s="107"/>
    </row>
    <row r="229" spans="1:10" x14ac:dyDescent="0.25">
      <c r="A229" s="105"/>
      <c r="B229" s="106"/>
      <c r="C229" s="106"/>
      <c r="D229" s="106"/>
      <c r="E229" s="106"/>
      <c r="F229" s="106"/>
      <c r="G229" s="106"/>
      <c r="H229" s="106"/>
      <c r="I229" s="106"/>
      <c r="J229" s="107"/>
    </row>
    <row r="230" spans="1:10" x14ac:dyDescent="0.25">
      <c r="A230" s="105"/>
      <c r="B230" s="106"/>
      <c r="C230" s="106"/>
      <c r="D230" s="106"/>
      <c r="E230" s="106"/>
      <c r="F230" s="106"/>
      <c r="G230" s="106"/>
      <c r="H230" s="106"/>
      <c r="I230" s="106"/>
      <c r="J230" s="107"/>
    </row>
    <row r="231" spans="1:10" x14ac:dyDescent="0.25">
      <c r="A231" s="105"/>
      <c r="B231" s="106"/>
      <c r="C231" s="106"/>
      <c r="D231" s="106"/>
      <c r="E231" s="106"/>
      <c r="F231" s="106"/>
      <c r="G231" s="106"/>
      <c r="H231" s="106"/>
      <c r="I231" s="106"/>
      <c r="J231" s="107"/>
    </row>
    <row r="232" spans="1:10" ht="15.75" thickBot="1" x14ac:dyDescent="0.3">
      <c r="A232" s="108"/>
      <c r="B232" s="109"/>
      <c r="C232" s="109"/>
      <c r="D232" s="109"/>
      <c r="E232" s="109"/>
      <c r="F232" s="109"/>
      <c r="G232" s="109"/>
      <c r="H232" s="109"/>
      <c r="I232" s="109"/>
      <c r="J232" s="110"/>
    </row>
    <row r="233" spans="1:10" ht="15" customHeight="1" x14ac:dyDescent="0.25">
      <c r="A233" s="111" t="s">
        <v>630</v>
      </c>
      <c r="B233" s="112"/>
      <c r="C233" s="112"/>
      <c r="D233" s="112"/>
      <c r="E233" s="112"/>
      <c r="F233" s="112"/>
      <c r="G233" s="112"/>
      <c r="H233" s="112"/>
      <c r="I233" s="112"/>
      <c r="J233" s="113"/>
    </row>
    <row r="234" spans="1:10" x14ac:dyDescent="0.25">
      <c r="A234" s="105"/>
      <c r="B234" s="106"/>
      <c r="C234" s="106"/>
      <c r="D234" s="106"/>
      <c r="E234" s="106"/>
      <c r="F234" s="106"/>
      <c r="G234" s="106"/>
      <c r="H234" s="106"/>
      <c r="I234" s="106"/>
      <c r="J234" s="107"/>
    </row>
    <row r="235" spans="1:10" x14ac:dyDescent="0.25">
      <c r="A235" s="105"/>
      <c r="B235" s="106"/>
      <c r="C235" s="106"/>
      <c r="D235" s="106"/>
      <c r="E235" s="106"/>
      <c r="F235" s="106"/>
      <c r="G235" s="106"/>
      <c r="H235" s="106"/>
      <c r="I235" s="106"/>
      <c r="J235" s="107"/>
    </row>
    <row r="236" spans="1:10" x14ac:dyDescent="0.25">
      <c r="A236" s="105"/>
      <c r="B236" s="106"/>
      <c r="C236" s="106"/>
      <c r="D236" s="106"/>
      <c r="E236" s="106"/>
      <c r="F236" s="106"/>
      <c r="G236" s="106"/>
      <c r="H236" s="106"/>
      <c r="I236" s="106"/>
      <c r="J236" s="107"/>
    </row>
    <row r="237" spans="1:10" ht="15.75" thickBot="1" x14ac:dyDescent="0.3">
      <c r="A237" s="108"/>
      <c r="B237" s="109"/>
      <c r="C237" s="109"/>
      <c r="D237" s="109"/>
      <c r="E237" s="109"/>
      <c r="F237" s="109"/>
      <c r="G237" s="109"/>
      <c r="H237" s="109"/>
      <c r="I237" s="109"/>
      <c r="J237" s="110"/>
    </row>
    <row r="238" spans="1:10" x14ac:dyDescent="0.25">
      <c r="A238" s="111" t="s">
        <v>629</v>
      </c>
      <c r="B238" s="114"/>
      <c r="C238" s="114"/>
      <c r="D238" s="114"/>
      <c r="E238" s="114"/>
      <c r="F238" s="114"/>
      <c r="G238" s="114"/>
      <c r="H238" s="114"/>
      <c r="I238" s="114"/>
      <c r="J238" s="115"/>
    </row>
    <row r="239" spans="1:10" x14ac:dyDescent="0.25">
      <c r="A239" s="116"/>
      <c r="B239" s="117"/>
      <c r="C239" s="117"/>
      <c r="D239" s="117"/>
      <c r="E239" s="117"/>
      <c r="F239" s="117"/>
      <c r="G239" s="117"/>
      <c r="H239" s="117"/>
      <c r="I239" s="117"/>
      <c r="J239" s="118"/>
    </row>
    <row r="240" spans="1:10" ht="15.75" thickBot="1" x14ac:dyDescent="0.3">
      <c r="A240" s="119"/>
      <c r="B240" s="120"/>
      <c r="C240" s="120"/>
      <c r="D240" s="120"/>
      <c r="E240" s="120"/>
      <c r="F240" s="120"/>
      <c r="G240" s="120"/>
      <c r="H240" s="120"/>
      <c r="I240" s="120"/>
      <c r="J240" s="121"/>
    </row>
  </sheetData>
  <sheetProtection sheet="1" objects="1" scenarios="1"/>
  <mergeCells count="13">
    <mergeCell ref="A1:J27"/>
    <mergeCell ref="A28:J47"/>
    <mergeCell ref="A48:J64"/>
    <mergeCell ref="A65:J94"/>
    <mergeCell ref="A95:J106"/>
    <mergeCell ref="A107:J130"/>
    <mergeCell ref="A131:J158"/>
    <mergeCell ref="A217:J232"/>
    <mergeCell ref="A233:J237"/>
    <mergeCell ref="A238:J240"/>
    <mergeCell ref="A159:J188"/>
    <mergeCell ref="A189:J211"/>
    <mergeCell ref="A212:J216"/>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4B46C-E6FC-48D7-8F0D-7527E91A20CC}">
  <dimension ref="A1:A3"/>
  <sheetViews>
    <sheetView workbookViewId="0">
      <selection activeCell="D10" sqref="D10"/>
    </sheetView>
  </sheetViews>
  <sheetFormatPr defaultRowHeight="15" x14ac:dyDescent="0.25"/>
  <cols>
    <col min="1" max="1" width="110.7109375" customWidth="1"/>
  </cols>
  <sheetData>
    <row r="1" spans="1:1" x14ac:dyDescent="0.25">
      <c r="A1" s="6" t="s">
        <v>613</v>
      </c>
    </row>
    <row r="2" spans="1:1" ht="45" x14ac:dyDescent="0.25">
      <c r="A2" s="94" t="s">
        <v>614</v>
      </c>
    </row>
    <row r="3" spans="1:1" ht="45" x14ac:dyDescent="0.25">
      <c r="A3" s="94" t="s">
        <v>615</v>
      </c>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CD7A9-9A8D-41C8-AFE0-6C85EDC07FF4}">
  <sheetPr codeName="Sheet10"/>
  <dimension ref="A1:QH35"/>
  <sheetViews>
    <sheetView topLeftCell="K1" zoomScale="80" zoomScaleNormal="80" workbookViewId="0">
      <selection activeCell="S18" sqref="S18"/>
    </sheetView>
  </sheetViews>
  <sheetFormatPr defaultRowHeight="15" x14ac:dyDescent="0.25"/>
  <cols>
    <col min="1" max="1" width="18.85546875" bestFit="1" customWidth="1"/>
    <col min="2" max="2" width="23.85546875" bestFit="1" customWidth="1"/>
    <col min="3" max="4" width="22.140625" bestFit="1" customWidth="1"/>
    <col min="5" max="5" width="21.7109375" bestFit="1" customWidth="1"/>
    <col min="6" max="6" width="23.7109375" bestFit="1" customWidth="1"/>
    <col min="7" max="7" width="21.140625" bestFit="1" customWidth="1"/>
    <col min="8" max="8" width="20.85546875" bestFit="1" customWidth="1"/>
    <col min="9" max="9" width="22.28515625" bestFit="1" customWidth="1"/>
    <col min="10" max="10" width="23.7109375" bestFit="1" customWidth="1"/>
    <col min="11" max="11" width="22.85546875" bestFit="1" customWidth="1"/>
    <col min="12" max="12" width="29.5703125" bestFit="1" customWidth="1"/>
    <col min="13" max="13" width="21.140625" bestFit="1" customWidth="1"/>
    <col min="14" max="14" width="22.85546875" bestFit="1" customWidth="1"/>
    <col min="15" max="15" width="22.5703125" bestFit="1" customWidth="1"/>
    <col min="16" max="16" width="21.85546875" bestFit="1" customWidth="1"/>
    <col min="17" max="17" width="24.140625" bestFit="1" customWidth="1"/>
    <col min="18" max="18" width="20.28515625" bestFit="1" customWidth="1"/>
    <col min="19" max="19" width="19.140625" bestFit="1" customWidth="1"/>
    <col min="20" max="20" width="20.85546875" bestFit="1" customWidth="1"/>
    <col min="21" max="22" width="19.140625" bestFit="1" customWidth="1"/>
    <col min="23" max="23" width="26.5703125" bestFit="1" customWidth="1"/>
    <col min="24" max="24" width="28.85546875" bestFit="1" customWidth="1"/>
    <col min="25" max="25" width="43.85546875" bestFit="1" customWidth="1"/>
    <col min="26" max="26" width="41.5703125" bestFit="1" customWidth="1"/>
    <col min="27" max="27" width="36.28515625" bestFit="1" customWidth="1"/>
    <col min="28" max="28" width="24.42578125" bestFit="1" customWidth="1"/>
    <col min="29" max="29" width="29" bestFit="1" customWidth="1"/>
    <col min="30" max="30" width="30.28515625" bestFit="1" customWidth="1"/>
    <col min="31" max="31" width="38.5703125" bestFit="1" customWidth="1"/>
    <col min="32" max="32" width="32.28515625" bestFit="1" customWidth="1"/>
    <col min="33" max="33" width="24.5703125" bestFit="1" customWidth="1"/>
    <col min="34" max="34" width="25.85546875" bestFit="1" customWidth="1"/>
    <col min="35" max="35" width="21.7109375" bestFit="1" customWidth="1"/>
    <col min="36" max="36" width="32.85546875" bestFit="1" customWidth="1"/>
    <col min="37" max="37" width="22.5703125" bestFit="1" customWidth="1"/>
  </cols>
  <sheetData>
    <row r="1" spans="1:450" ht="76.5" x14ac:dyDescent="0.25">
      <c r="O1" s="8"/>
      <c r="Q1" s="9"/>
      <c r="S1" s="10"/>
      <c r="U1" s="11"/>
      <c r="W1" s="12"/>
      <c r="Y1" s="13"/>
      <c r="AA1" s="14"/>
      <c r="AC1" s="8"/>
      <c r="AE1" s="9"/>
      <c r="AG1" s="10"/>
      <c r="AI1" s="11"/>
      <c r="AK1" s="12"/>
      <c r="AM1" s="13"/>
      <c r="AO1" s="14"/>
      <c r="AQ1" s="8"/>
      <c r="AS1" s="9"/>
      <c r="DY1" s="8"/>
      <c r="EA1" s="9"/>
      <c r="EC1" s="10"/>
      <c r="EE1" s="11"/>
      <c r="EG1" s="12"/>
      <c r="EI1" s="13"/>
      <c r="EK1" s="14"/>
      <c r="FC1" s="166" t="s">
        <v>61</v>
      </c>
      <c r="FD1" s="166"/>
      <c r="FE1" s="166" t="s">
        <v>62</v>
      </c>
      <c r="FF1" s="166"/>
      <c r="FG1" s="166"/>
      <c r="FH1" s="166"/>
      <c r="FI1" s="166"/>
      <c r="FJ1" s="166"/>
      <c r="FK1" s="166"/>
      <c r="FL1" s="166"/>
      <c r="FM1" s="166"/>
      <c r="FN1" s="166"/>
      <c r="FO1" s="166"/>
      <c r="FP1" s="166"/>
      <c r="FQ1" s="166"/>
      <c r="FR1" s="166"/>
      <c r="FS1" s="166"/>
      <c r="FT1" s="166"/>
      <c r="FU1" s="166"/>
      <c r="FV1" s="166"/>
      <c r="FW1" s="166" t="s">
        <v>63</v>
      </c>
      <c r="FX1" s="166"/>
      <c r="FY1" s="166"/>
      <c r="FZ1" s="166"/>
      <c r="GA1" s="166"/>
      <c r="GB1" s="166"/>
      <c r="GC1" s="166"/>
      <c r="GD1" s="166"/>
      <c r="GE1" s="166"/>
      <c r="GF1" s="166"/>
      <c r="GG1" s="166"/>
      <c r="GH1" s="166"/>
      <c r="GI1" s="166"/>
      <c r="GJ1" s="166"/>
      <c r="GK1" s="166"/>
      <c r="GL1" s="166"/>
      <c r="GM1" s="166"/>
      <c r="GN1" s="166"/>
      <c r="GO1" s="166"/>
      <c r="GP1" s="166" t="s">
        <v>64</v>
      </c>
      <c r="GQ1" s="166"/>
      <c r="GR1" s="166"/>
      <c r="GS1" s="166"/>
      <c r="GT1" s="166"/>
      <c r="GU1" s="166"/>
      <c r="GV1" s="166"/>
      <c r="GW1" s="166"/>
      <c r="GX1" s="166"/>
      <c r="GY1" s="166"/>
      <c r="GZ1" s="166"/>
      <c r="HA1" s="166"/>
      <c r="HB1" s="166"/>
      <c r="HC1" s="166"/>
      <c r="HD1" s="166"/>
      <c r="HE1" s="166"/>
      <c r="HF1" s="166"/>
      <c r="HG1" s="166"/>
      <c r="HH1" s="166"/>
      <c r="HI1" s="166" t="s">
        <v>65</v>
      </c>
      <c r="HJ1" s="166"/>
      <c r="HK1" s="166"/>
      <c r="HL1" s="166"/>
      <c r="HM1" s="166"/>
      <c r="HN1" s="166"/>
      <c r="HO1" s="166"/>
      <c r="HP1" s="166"/>
      <c r="HQ1" s="166"/>
      <c r="HR1" s="166"/>
      <c r="HS1" s="166"/>
      <c r="HT1" s="166"/>
      <c r="HU1" s="166"/>
      <c r="HV1" s="166"/>
      <c r="HW1" s="166"/>
      <c r="HX1" s="166"/>
      <c r="HY1" s="166"/>
      <c r="HZ1" s="166"/>
      <c r="IA1" s="166"/>
      <c r="IB1" s="16"/>
      <c r="IC1" s="166" t="s">
        <v>66</v>
      </c>
      <c r="ID1" s="166"/>
      <c r="IE1" s="166"/>
      <c r="IF1" s="16"/>
      <c r="IG1" s="166" t="s">
        <v>67</v>
      </c>
      <c r="IH1" s="166"/>
      <c r="II1" s="166"/>
      <c r="IJ1" s="16"/>
      <c r="IK1" s="166" t="s">
        <v>68</v>
      </c>
      <c r="IL1" s="166"/>
      <c r="IM1" s="166"/>
      <c r="IN1" s="166" t="s">
        <v>69</v>
      </c>
      <c r="IO1" s="166"/>
      <c r="IP1" s="166" t="s">
        <v>70</v>
      </c>
      <c r="IQ1" s="166"/>
      <c r="IR1" s="166" t="s">
        <v>71</v>
      </c>
      <c r="IS1" s="166"/>
      <c r="IT1" s="166" t="s">
        <v>72</v>
      </c>
      <c r="IU1" s="166"/>
      <c r="IV1" s="166"/>
      <c r="IW1" s="166"/>
      <c r="IX1" s="166"/>
      <c r="IY1" s="166"/>
      <c r="IZ1" s="166"/>
      <c r="JA1" s="166"/>
      <c r="JB1" s="166"/>
      <c r="JC1" s="166"/>
      <c r="JD1" s="166"/>
      <c r="JE1" s="166"/>
      <c r="JF1" s="166"/>
      <c r="JG1" s="166"/>
      <c r="JH1" s="166"/>
      <c r="JI1" s="166"/>
      <c r="JJ1" s="166"/>
      <c r="JK1" s="166"/>
      <c r="JL1" s="166"/>
      <c r="JM1" s="166" t="s">
        <v>73</v>
      </c>
      <c r="JN1" s="166"/>
      <c r="JO1" s="166"/>
      <c r="JP1" s="166"/>
      <c r="JQ1" s="166"/>
      <c r="JR1" s="166"/>
      <c r="JS1" s="166"/>
      <c r="JT1" s="166"/>
      <c r="JU1" s="166"/>
      <c r="JV1" s="166"/>
      <c r="JW1" s="166"/>
      <c r="JX1" s="166"/>
      <c r="JY1" s="166"/>
      <c r="JZ1" s="166"/>
      <c r="KA1" s="166"/>
      <c r="KB1" s="166"/>
      <c r="KC1" s="166"/>
      <c r="KD1" s="166"/>
      <c r="KE1" s="166"/>
      <c r="KF1" s="16"/>
      <c r="KG1" s="166" t="s">
        <v>74</v>
      </c>
      <c r="KH1" s="166"/>
      <c r="KI1" s="166"/>
      <c r="KJ1" s="166" t="s">
        <v>75</v>
      </c>
      <c r="KK1" s="166"/>
      <c r="KL1" s="166"/>
      <c r="KM1" s="166"/>
      <c r="KN1" s="166" t="s">
        <v>76</v>
      </c>
      <c r="KO1" s="166"/>
      <c r="KP1" s="166"/>
      <c r="KQ1" s="166"/>
      <c r="KR1" s="166" t="s">
        <v>77</v>
      </c>
      <c r="KS1" s="166"/>
      <c r="KT1" s="166" t="s">
        <v>78</v>
      </c>
      <c r="KU1" s="166"/>
      <c r="KV1" s="166" t="s">
        <v>79</v>
      </c>
      <c r="KW1" s="166"/>
      <c r="KX1" s="166"/>
      <c r="KY1" s="166" t="s">
        <v>80</v>
      </c>
      <c r="KZ1" s="166"/>
      <c r="LA1" s="166"/>
      <c r="LB1" s="166"/>
      <c r="LC1" s="166"/>
      <c r="LD1" s="166" t="s">
        <v>81</v>
      </c>
      <c r="LE1" s="166"/>
      <c r="LF1" s="166"/>
      <c r="LG1" s="166"/>
      <c r="LH1" s="166"/>
      <c r="LI1" s="17" t="s">
        <v>82</v>
      </c>
      <c r="LJ1" s="166" t="s">
        <v>83</v>
      </c>
      <c r="LK1" s="166"/>
      <c r="LL1" s="166" t="s">
        <v>84</v>
      </c>
      <c r="LM1" s="166"/>
      <c r="LN1" s="166"/>
      <c r="LO1" s="166"/>
      <c r="LP1" s="166"/>
      <c r="LQ1" s="166" t="s">
        <v>85</v>
      </c>
      <c r="LR1" s="166"/>
      <c r="LS1" s="166"/>
      <c r="LT1" s="166"/>
      <c r="LU1" s="166"/>
      <c r="LV1" s="166"/>
      <c r="LW1" s="166"/>
      <c r="LX1" s="166"/>
      <c r="LY1" s="166"/>
      <c r="LZ1" s="166"/>
      <c r="MA1" s="166"/>
      <c r="MB1" s="166"/>
      <c r="MC1" s="166"/>
      <c r="MD1" s="166"/>
      <c r="ME1" s="166"/>
      <c r="MF1" s="166"/>
      <c r="MG1" s="166"/>
      <c r="MH1" s="166"/>
      <c r="MI1" s="18" t="s">
        <v>86</v>
      </c>
      <c r="MJ1" s="17" t="s">
        <v>87</v>
      </c>
      <c r="MK1" s="17" t="s">
        <v>88</v>
      </c>
      <c r="ML1" s="18" t="s">
        <v>89</v>
      </c>
      <c r="MM1" s="166" t="s">
        <v>90</v>
      </c>
      <c r="MN1" s="166"/>
      <c r="MO1" s="166" t="s">
        <v>91</v>
      </c>
      <c r="MP1" s="166"/>
      <c r="MQ1" s="166"/>
      <c r="MR1" s="166"/>
      <c r="MS1" s="166"/>
      <c r="MT1" s="166"/>
      <c r="MU1" s="166"/>
      <c r="MV1" s="166"/>
      <c r="MW1" s="166"/>
      <c r="MX1" s="166"/>
      <c r="MY1" s="166"/>
      <c r="MZ1" s="166"/>
      <c r="NA1" s="166"/>
      <c r="NB1" s="166"/>
      <c r="NC1" s="166"/>
      <c r="ND1" s="166"/>
      <c r="NE1" s="166"/>
      <c r="NF1" s="166"/>
      <c r="NG1" s="166" t="s">
        <v>92</v>
      </c>
      <c r="NH1" s="166"/>
      <c r="NI1" s="166"/>
      <c r="NJ1" s="166"/>
      <c r="NK1" s="166"/>
      <c r="NL1" s="166"/>
      <c r="NM1" s="166"/>
      <c r="NN1" s="166"/>
      <c r="NO1" s="166"/>
      <c r="NP1" s="166"/>
      <c r="NQ1" s="166"/>
      <c r="NR1" s="166"/>
      <c r="NS1" s="166"/>
      <c r="NT1" s="166"/>
      <c r="NU1" s="166"/>
      <c r="NV1" s="166"/>
      <c r="NW1" s="166"/>
      <c r="NX1" s="166"/>
      <c r="NY1" s="166"/>
      <c r="NZ1" s="166"/>
      <c r="OA1" s="166" t="s">
        <v>93</v>
      </c>
      <c r="OB1" s="166"/>
      <c r="OC1" s="166"/>
      <c r="OD1" s="166"/>
      <c r="OE1" s="166"/>
      <c r="OF1" s="166"/>
      <c r="OG1" s="166"/>
      <c r="OH1" s="166"/>
      <c r="OI1" s="166"/>
      <c r="OJ1" s="166"/>
      <c r="OK1" s="166"/>
      <c r="OL1" s="166"/>
      <c r="OM1" s="166"/>
      <c r="ON1" s="166"/>
      <c r="OO1" s="166"/>
      <c r="OP1" s="166"/>
      <c r="OQ1" s="166"/>
      <c r="OR1" s="166"/>
      <c r="OS1" s="166"/>
      <c r="OT1" s="166" t="s">
        <v>94</v>
      </c>
      <c r="OU1" s="166"/>
      <c r="OV1" s="166"/>
      <c r="OW1" s="166"/>
      <c r="OX1" s="15" t="s">
        <v>95</v>
      </c>
      <c r="OY1" s="166" t="s">
        <v>96</v>
      </c>
      <c r="OZ1" s="166"/>
      <c r="PA1" s="166"/>
      <c r="PB1" s="166"/>
      <c r="PC1" s="166" t="s">
        <v>97</v>
      </c>
      <c r="PD1" s="166"/>
      <c r="PE1" s="166"/>
      <c r="PF1" s="166"/>
      <c r="PG1" s="166" t="s">
        <v>98</v>
      </c>
      <c r="PH1" s="166"/>
      <c r="PI1" s="166"/>
      <c r="PJ1" s="166"/>
      <c r="PK1" s="17" t="s">
        <v>99</v>
      </c>
      <c r="PL1" s="19"/>
      <c r="PM1" s="19" t="s">
        <v>100</v>
      </c>
      <c r="PN1" s="19"/>
      <c r="PO1" s="19" t="s">
        <v>101</v>
      </c>
      <c r="PP1" s="165" t="s">
        <v>102</v>
      </c>
      <c r="PQ1" s="165"/>
      <c r="PR1" s="165" t="s">
        <v>103</v>
      </c>
      <c r="PS1" s="165"/>
      <c r="PT1" s="165" t="s">
        <v>104</v>
      </c>
      <c r="PU1" s="165"/>
      <c r="PV1" s="165" t="s">
        <v>105</v>
      </c>
      <c r="PW1" s="165"/>
      <c r="PX1" s="165" t="s">
        <v>106</v>
      </c>
      <c r="PY1" s="165"/>
      <c r="PZ1" s="165" t="s">
        <v>107</v>
      </c>
      <c r="QA1" s="165"/>
      <c r="QB1" s="165" t="s">
        <v>108</v>
      </c>
      <c r="QC1" s="165"/>
      <c r="QD1" s="165"/>
      <c r="QE1" s="165"/>
      <c r="QF1" s="19" t="s">
        <v>109</v>
      </c>
      <c r="QG1" s="166" t="s">
        <v>110</v>
      </c>
      <c r="QH1" s="166"/>
    </row>
    <row r="2" spans="1:450" ht="89.25" x14ac:dyDescent="0.25">
      <c r="A2" t="s">
        <v>111</v>
      </c>
      <c r="B2" t="s">
        <v>112</v>
      </c>
      <c r="C2" t="s">
        <v>113</v>
      </c>
      <c r="D2" t="s">
        <v>114</v>
      </c>
      <c r="E2" t="s">
        <v>115</v>
      </c>
      <c r="F2" t="s">
        <v>116</v>
      </c>
      <c r="G2" t="s">
        <v>117</v>
      </c>
      <c r="H2" t="s">
        <v>118</v>
      </c>
      <c r="I2" t="s">
        <v>119</v>
      </c>
      <c r="J2" t="s">
        <v>120</v>
      </c>
      <c r="K2" t="s">
        <v>121</v>
      </c>
      <c r="L2" t="s">
        <v>122</v>
      </c>
      <c r="M2" t="s">
        <v>123</v>
      </c>
      <c r="N2" t="s">
        <v>124</v>
      </c>
      <c r="O2" s="8" t="s">
        <v>125</v>
      </c>
      <c r="P2" t="s">
        <v>126</v>
      </c>
      <c r="Q2" s="9" t="s">
        <v>127</v>
      </c>
      <c r="R2" t="s">
        <v>128</v>
      </c>
      <c r="S2" s="10" t="s">
        <v>129</v>
      </c>
      <c r="T2" t="s">
        <v>130</v>
      </c>
      <c r="U2" s="11" t="s">
        <v>131</v>
      </c>
      <c r="V2" t="s">
        <v>132</v>
      </c>
      <c r="W2" s="12" t="s">
        <v>133</v>
      </c>
      <c r="X2" t="s">
        <v>134</v>
      </c>
      <c r="Y2" s="13" t="s">
        <v>135</v>
      </c>
      <c r="Z2" t="s">
        <v>136</v>
      </c>
      <c r="AA2" s="14" t="s">
        <v>137</v>
      </c>
      <c r="AB2" t="s">
        <v>138</v>
      </c>
      <c r="AC2" s="8" t="s">
        <v>139</v>
      </c>
      <c r="AD2" t="s">
        <v>140</v>
      </c>
      <c r="AE2" s="9" t="s">
        <v>141</v>
      </c>
      <c r="AF2" t="s">
        <v>142</v>
      </c>
      <c r="AG2" s="10" t="s">
        <v>143</v>
      </c>
      <c r="AH2" t="s">
        <v>144</v>
      </c>
      <c r="AI2" s="11" t="s">
        <v>145</v>
      </c>
      <c r="AJ2" t="s">
        <v>146</v>
      </c>
      <c r="AK2" s="12" t="s">
        <v>147</v>
      </c>
      <c r="AL2" t="s">
        <v>148</v>
      </c>
      <c r="AM2" s="13" t="s">
        <v>149</v>
      </c>
      <c r="AN2" t="s">
        <v>150</v>
      </c>
      <c r="AO2" s="14" t="s">
        <v>151</v>
      </c>
      <c r="AP2" t="s">
        <v>152</v>
      </c>
      <c r="AQ2" s="8" t="s">
        <v>153</v>
      </c>
      <c r="AR2" t="s">
        <v>154</v>
      </c>
      <c r="AS2" s="9" t="s">
        <v>155</v>
      </c>
      <c r="AT2" t="s">
        <v>156</v>
      </c>
      <c r="AU2" t="s">
        <v>157</v>
      </c>
      <c r="AV2" t="s">
        <v>158</v>
      </c>
      <c r="AW2" t="s">
        <v>159</v>
      </c>
      <c r="AX2" t="s">
        <v>160</v>
      </c>
      <c r="AY2" t="s">
        <v>161</v>
      </c>
      <c r="AZ2" t="s">
        <v>162</v>
      </c>
      <c r="BA2" t="s">
        <v>163</v>
      </c>
      <c r="BB2" t="s">
        <v>164</v>
      </c>
      <c r="BC2" t="s">
        <v>165</v>
      </c>
      <c r="BD2" t="s">
        <v>166</v>
      </c>
      <c r="BE2" t="s">
        <v>167</v>
      </c>
      <c r="BF2" t="s">
        <v>168</v>
      </c>
      <c r="BG2" t="s">
        <v>169</v>
      </c>
      <c r="BH2" t="s">
        <v>170</v>
      </c>
      <c r="BI2" t="s">
        <v>171</v>
      </c>
      <c r="BJ2" t="s">
        <v>172</v>
      </c>
      <c r="BK2" t="s">
        <v>173</v>
      </c>
      <c r="BL2" t="s">
        <v>174</v>
      </c>
      <c r="BM2" t="s">
        <v>175</v>
      </c>
      <c r="BN2" t="s">
        <v>176</v>
      </c>
      <c r="BO2" t="s">
        <v>177</v>
      </c>
      <c r="BP2" t="s">
        <v>178</v>
      </c>
      <c r="BQ2" t="s">
        <v>179</v>
      </c>
      <c r="BR2" t="s">
        <v>180</v>
      </c>
      <c r="BS2" t="s">
        <v>181</v>
      </c>
      <c r="BT2" t="s">
        <v>182</v>
      </c>
      <c r="BU2" t="s">
        <v>183</v>
      </c>
      <c r="BV2" t="s">
        <v>184</v>
      </c>
      <c r="BW2" t="s">
        <v>185</v>
      </c>
      <c r="BX2" t="s">
        <v>186</v>
      </c>
      <c r="BY2" t="s">
        <v>187</v>
      </c>
      <c r="BZ2" t="s">
        <v>188</v>
      </c>
      <c r="CA2" t="s">
        <v>189</v>
      </c>
      <c r="CB2" t="s">
        <v>190</v>
      </c>
      <c r="CC2" t="s">
        <v>191</v>
      </c>
      <c r="CD2" t="s">
        <v>192</v>
      </c>
      <c r="CE2" t="s">
        <v>193</v>
      </c>
      <c r="CF2" t="s">
        <v>194</v>
      </c>
      <c r="CG2" t="s">
        <v>195</v>
      </c>
      <c r="CH2" t="s">
        <v>196</v>
      </c>
      <c r="CI2" t="s">
        <v>197</v>
      </c>
      <c r="CJ2" t="s">
        <v>198</v>
      </c>
      <c r="CK2" t="s">
        <v>199</v>
      </c>
      <c r="CL2" t="s">
        <v>200</v>
      </c>
      <c r="CM2" t="s">
        <v>201</v>
      </c>
      <c r="CN2" t="s">
        <v>202</v>
      </c>
      <c r="CO2" t="s">
        <v>203</v>
      </c>
      <c r="CP2" t="s">
        <v>204</v>
      </c>
      <c r="CQ2" t="s">
        <v>205</v>
      </c>
      <c r="CR2" t="s">
        <v>206</v>
      </c>
      <c r="CS2" t="s">
        <v>207</v>
      </c>
      <c r="CT2" t="s">
        <v>208</v>
      </c>
      <c r="CU2" t="s">
        <v>209</v>
      </c>
      <c r="CV2" t="s">
        <v>210</v>
      </c>
      <c r="CW2" t="s">
        <v>211</v>
      </c>
      <c r="CX2" t="s">
        <v>212</v>
      </c>
      <c r="CY2" t="s">
        <v>213</v>
      </c>
      <c r="CZ2" t="s">
        <v>214</v>
      </c>
      <c r="DA2" t="s">
        <v>215</v>
      </c>
      <c r="DB2" t="s">
        <v>216</v>
      </c>
      <c r="DC2" t="s">
        <v>217</v>
      </c>
      <c r="DD2" t="s">
        <v>218</v>
      </c>
      <c r="DE2" t="s">
        <v>219</v>
      </c>
      <c r="DF2" t="s">
        <v>220</v>
      </c>
      <c r="DG2" t="s">
        <v>221</v>
      </c>
      <c r="DH2" t="s">
        <v>222</v>
      </c>
      <c r="DI2" t="s">
        <v>223</v>
      </c>
      <c r="DJ2" t="s">
        <v>224</v>
      </c>
      <c r="DK2" t="s">
        <v>225</v>
      </c>
      <c r="DL2" t="s">
        <v>226</v>
      </c>
      <c r="DM2" t="s">
        <v>227</v>
      </c>
      <c r="DN2" t="s">
        <v>228</v>
      </c>
      <c r="DO2" t="s">
        <v>229</v>
      </c>
      <c r="DP2" t="s">
        <v>230</v>
      </c>
      <c r="DQ2" t="s">
        <v>231</v>
      </c>
      <c r="DR2" t="s">
        <v>232</v>
      </c>
      <c r="DS2" t="s">
        <v>233</v>
      </c>
      <c r="DT2" t="s">
        <v>234</v>
      </c>
      <c r="DU2" t="s">
        <v>235</v>
      </c>
      <c r="DV2" t="s">
        <v>236</v>
      </c>
      <c r="DW2" t="s">
        <v>237</v>
      </c>
      <c r="DX2" t="s">
        <v>238</v>
      </c>
      <c r="DY2" s="8" t="s">
        <v>239</v>
      </c>
      <c r="DZ2" t="s">
        <v>240</v>
      </c>
      <c r="EA2" s="9" t="s">
        <v>241</v>
      </c>
      <c r="EB2" t="s">
        <v>242</v>
      </c>
      <c r="EC2" s="10" t="s">
        <v>243</v>
      </c>
      <c r="ED2" t="s">
        <v>244</v>
      </c>
      <c r="EE2" s="11" t="s">
        <v>245</v>
      </c>
      <c r="EF2" t="s">
        <v>246</v>
      </c>
      <c r="EG2" s="12" t="s">
        <v>247</v>
      </c>
      <c r="EH2" t="s">
        <v>248</v>
      </c>
      <c r="EI2" s="13" t="s">
        <v>249</v>
      </c>
      <c r="EJ2" t="s">
        <v>250</v>
      </c>
      <c r="EK2" s="14" t="s">
        <v>251</v>
      </c>
      <c r="EL2" t="s">
        <v>252</v>
      </c>
      <c r="EM2" t="s">
        <v>253</v>
      </c>
      <c r="EN2" t="s">
        <v>254</v>
      </c>
      <c r="EO2" t="s">
        <v>255</v>
      </c>
      <c r="EP2" t="s">
        <v>256</v>
      </c>
      <c r="EQ2" t="s">
        <v>257</v>
      </c>
      <c r="ER2" t="s">
        <v>258</v>
      </c>
      <c r="ES2" t="s">
        <v>259</v>
      </c>
      <c r="ET2" t="s">
        <v>260</v>
      </c>
      <c r="EU2" t="s">
        <v>261</v>
      </c>
      <c r="EV2" t="s">
        <v>262</v>
      </c>
      <c r="EW2" t="s">
        <v>263</v>
      </c>
      <c r="EX2" t="s">
        <v>264</v>
      </c>
      <c r="EY2" t="s">
        <v>265</v>
      </c>
      <c r="EZ2" t="s">
        <v>266</v>
      </c>
      <c r="FA2" t="s">
        <v>267</v>
      </c>
      <c r="FB2" t="s">
        <v>268</v>
      </c>
      <c r="FC2" s="20" t="s">
        <v>269</v>
      </c>
      <c r="FD2" s="21" t="s">
        <v>270</v>
      </c>
      <c r="FE2" s="22" t="s">
        <v>271</v>
      </c>
      <c r="FF2" s="20" t="s">
        <v>272</v>
      </c>
      <c r="FG2" s="20" t="s">
        <v>273</v>
      </c>
      <c r="FH2" s="20" t="s">
        <v>274</v>
      </c>
      <c r="FI2" s="20" t="s">
        <v>275</v>
      </c>
      <c r="FJ2" s="20" t="s">
        <v>276</v>
      </c>
      <c r="FK2" s="20" t="s">
        <v>277</v>
      </c>
      <c r="FL2" s="20" t="s">
        <v>278</v>
      </c>
      <c r="FM2" s="20" t="s">
        <v>279</v>
      </c>
      <c r="FN2" s="20" t="s">
        <v>280</v>
      </c>
      <c r="FO2" s="20" t="s">
        <v>281</v>
      </c>
      <c r="FP2" s="20" t="s">
        <v>282</v>
      </c>
      <c r="FQ2" s="20" t="s">
        <v>283</v>
      </c>
      <c r="FR2" s="20" t="s">
        <v>284</v>
      </c>
      <c r="FS2" s="20" t="s">
        <v>285</v>
      </c>
      <c r="FT2" s="20" t="s">
        <v>286</v>
      </c>
      <c r="FU2" s="20" t="s">
        <v>287</v>
      </c>
      <c r="FV2" s="20" t="s">
        <v>288</v>
      </c>
      <c r="FW2" s="23" t="s">
        <v>289</v>
      </c>
      <c r="FX2" s="21" t="s">
        <v>290</v>
      </c>
      <c r="FY2" s="20" t="s">
        <v>272</v>
      </c>
      <c r="FZ2" s="20" t="s">
        <v>273</v>
      </c>
      <c r="GA2" s="20" t="s">
        <v>291</v>
      </c>
      <c r="GB2" s="20" t="s">
        <v>292</v>
      </c>
      <c r="GC2" s="20" t="s">
        <v>293</v>
      </c>
      <c r="GD2" s="20" t="s">
        <v>294</v>
      </c>
      <c r="GE2" s="20" t="s">
        <v>295</v>
      </c>
      <c r="GF2" s="20" t="s">
        <v>296</v>
      </c>
      <c r="GG2" s="20" t="s">
        <v>297</v>
      </c>
      <c r="GH2" s="20" t="s">
        <v>298</v>
      </c>
      <c r="GI2" s="20" t="s">
        <v>299</v>
      </c>
      <c r="GJ2" s="20" t="s">
        <v>300</v>
      </c>
      <c r="GK2" s="20" t="s">
        <v>301</v>
      </c>
      <c r="GL2" s="20" t="s">
        <v>302</v>
      </c>
      <c r="GM2" s="20" t="s">
        <v>303</v>
      </c>
      <c r="GN2" s="20" t="s">
        <v>304</v>
      </c>
      <c r="GO2" s="20" t="s">
        <v>305</v>
      </c>
      <c r="GP2" s="23" t="s">
        <v>289</v>
      </c>
      <c r="GQ2" s="21" t="s">
        <v>306</v>
      </c>
      <c r="GR2" s="20" t="s">
        <v>272</v>
      </c>
      <c r="GS2" s="20" t="s">
        <v>273</v>
      </c>
      <c r="GT2" s="20" t="s">
        <v>307</v>
      </c>
      <c r="GU2" s="20" t="s">
        <v>308</v>
      </c>
      <c r="GV2" s="20" t="s">
        <v>309</v>
      </c>
      <c r="GW2" s="20" t="s">
        <v>310</v>
      </c>
      <c r="GX2" s="20" t="s">
        <v>311</v>
      </c>
      <c r="GY2" s="20" t="s">
        <v>312</v>
      </c>
      <c r="GZ2" s="20" t="s">
        <v>313</v>
      </c>
      <c r="HA2" s="20" t="s">
        <v>314</v>
      </c>
      <c r="HB2" s="20" t="s">
        <v>315</v>
      </c>
      <c r="HC2" s="20" t="s">
        <v>316</v>
      </c>
      <c r="HD2" s="20" t="s">
        <v>317</v>
      </c>
      <c r="HE2" s="20" t="s">
        <v>318</v>
      </c>
      <c r="HF2" s="20" t="s">
        <v>319</v>
      </c>
      <c r="HG2" s="20" t="s">
        <v>320</v>
      </c>
      <c r="HH2" s="20" t="s">
        <v>321</v>
      </c>
      <c r="HI2" s="23" t="s">
        <v>289</v>
      </c>
      <c r="HJ2" s="21" t="s">
        <v>322</v>
      </c>
      <c r="HK2" s="20" t="s">
        <v>272</v>
      </c>
      <c r="HL2" s="20" t="s">
        <v>273</v>
      </c>
      <c r="HM2" s="20" t="s">
        <v>323</v>
      </c>
      <c r="HN2" s="20" t="s">
        <v>324</v>
      </c>
      <c r="HO2" s="20" t="s">
        <v>325</v>
      </c>
      <c r="HP2" s="20" t="s">
        <v>326</v>
      </c>
      <c r="HQ2" s="20" t="s">
        <v>327</v>
      </c>
      <c r="HR2" s="20" t="s">
        <v>328</v>
      </c>
      <c r="HS2" s="20" t="s">
        <v>329</v>
      </c>
      <c r="HT2" s="20" t="s">
        <v>330</v>
      </c>
      <c r="HU2" s="20" t="s">
        <v>331</v>
      </c>
      <c r="HV2" s="20" t="s">
        <v>332</v>
      </c>
      <c r="HW2" s="20" t="s">
        <v>333</v>
      </c>
      <c r="HX2" s="20" t="s">
        <v>334</v>
      </c>
      <c r="HY2" s="20" t="s">
        <v>335</v>
      </c>
      <c r="HZ2" s="20" t="s">
        <v>336</v>
      </c>
      <c r="IA2" s="20" t="s">
        <v>337</v>
      </c>
      <c r="IB2" s="24" t="s">
        <v>338</v>
      </c>
      <c r="IC2" s="25" t="s">
        <v>339</v>
      </c>
      <c r="ID2" s="20" t="s">
        <v>272</v>
      </c>
      <c r="IE2" s="20" t="s">
        <v>273</v>
      </c>
      <c r="IF2" s="24" t="s">
        <v>340</v>
      </c>
      <c r="IG2" s="25" t="s">
        <v>341</v>
      </c>
      <c r="IH2" s="20" t="s">
        <v>272</v>
      </c>
      <c r="II2" s="20" t="s">
        <v>273</v>
      </c>
      <c r="IJ2" s="24" t="s">
        <v>342</v>
      </c>
      <c r="IK2" s="25" t="s">
        <v>343</v>
      </c>
      <c r="IL2" s="20" t="s">
        <v>272</v>
      </c>
      <c r="IM2" s="20" t="s">
        <v>273</v>
      </c>
      <c r="IN2" s="24" t="s">
        <v>344</v>
      </c>
      <c r="IO2" s="21" t="s">
        <v>345</v>
      </c>
      <c r="IP2" s="24" t="s">
        <v>346</v>
      </c>
      <c r="IQ2" s="21" t="s">
        <v>347</v>
      </c>
      <c r="IR2" s="24" t="s">
        <v>348</v>
      </c>
      <c r="IS2" s="21" t="s">
        <v>349</v>
      </c>
      <c r="IT2" s="24" t="s">
        <v>350</v>
      </c>
      <c r="IU2" s="21" t="s">
        <v>351</v>
      </c>
      <c r="IV2" s="20" t="s">
        <v>272</v>
      </c>
      <c r="IW2" s="20" t="s">
        <v>273</v>
      </c>
      <c r="IX2" s="20" t="s">
        <v>352</v>
      </c>
      <c r="IY2" s="20" t="s">
        <v>353</v>
      </c>
      <c r="IZ2" s="20" t="s">
        <v>354</v>
      </c>
      <c r="JA2" s="20" t="s">
        <v>355</v>
      </c>
      <c r="JB2" s="20" t="s">
        <v>356</v>
      </c>
      <c r="JC2" s="20" t="s">
        <v>357</v>
      </c>
      <c r="JD2" s="20" t="s">
        <v>358</v>
      </c>
      <c r="JE2" s="20" t="s">
        <v>359</v>
      </c>
      <c r="JF2" s="20" t="s">
        <v>360</v>
      </c>
      <c r="JG2" s="20" t="s">
        <v>361</v>
      </c>
      <c r="JH2" s="20" t="s">
        <v>362</v>
      </c>
      <c r="JI2" s="20" t="s">
        <v>363</v>
      </c>
      <c r="JJ2" s="20" t="s">
        <v>364</v>
      </c>
      <c r="JK2" s="20" t="s">
        <v>365</v>
      </c>
      <c r="JL2" s="20" t="s">
        <v>366</v>
      </c>
      <c r="JM2" s="23" t="s">
        <v>367</v>
      </c>
      <c r="JN2" s="21" t="s">
        <v>368</v>
      </c>
      <c r="JO2" s="20" t="s">
        <v>272</v>
      </c>
      <c r="JP2" s="20" t="s">
        <v>273</v>
      </c>
      <c r="JQ2" s="20" t="s">
        <v>369</v>
      </c>
      <c r="JR2" s="20" t="s">
        <v>370</v>
      </c>
      <c r="JS2" s="20" t="s">
        <v>371</v>
      </c>
      <c r="JT2" s="20" t="s">
        <v>372</v>
      </c>
      <c r="JU2" s="20" t="s">
        <v>373</v>
      </c>
      <c r="JV2" s="20" t="s">
        <v>374</v>
      </c>
      <c r="JW2" s="20" t="s">
        <v>375</v>
      </c>
      <c r="JX2" s="20" t="s">
        <v>376</v>
      </c>
      <c r="JY2" s="20" t="s">
        <v>377</v>
      </c>
      <c r="JZ2" s="20" t="s">
        <v>378</v>
      </c>
      <c r="KA2" s="20" t="s">
        <v>379</v>
      </c>
      <c r="KB2" s="20" t="s">
        <v>380</v>
      </c>
      <c r="KC2" s="20" t="s">
        <v>381</v>
      </c>
      <c r="KD2" s="20" t="s">
        <v>382</v>
      </c>
      <c r="KE2" s="20" t="s">
        <v>383</v>
      </c>
      <c r="KF2" s="24" t="s">
        <v>384</v>
      </c>
      <c r="KG2" s="25" t="s">
        <v>385</v>
      </c>
      <c r="KH2" s="20" t="s">
        <v>272</v>
      </c>
      <c r="KI2" s="20" t="s">
        <v>273</v>
      </c>
      <c r="KJ2" s="24" t="s">
        <v>386</v>
      </c>
      <c r="KK2" s="21" t="s">
        <v>387</v>
      </c>
      <c r="KL2" s="20" t="s">
        <v>272</v>
      </c>
      <c r="KM2" s="20" t="s">
        <v>273</v>
      </c>
      <c r="KN2" s="24" t="s">
        <v>386</v>
      </c>
      <c r="KO2" s="21" t="s">
        <v>387</v>
      </c>
      <c r="KP2" s="20" t="s">
        <v>272</v>
      </c>
      <c r="KQ2" s="20" t="s">
        <v>273</v>
      </c>
      <c r="KR2" s="23" t="s">
        <v>388</v>
      </c>
      <c r="KS2" s="21" t="s">
        <v>389</v>
      </c>
      <c r="KT2" s="23" t="s">
        <v>390</v>
      </c>
      <c r="KU2" s="21" t="s">
        <v>391</v>
      </c>
      <c r="KV2" s="22" t="s">
        <v>392</v>
      </c>
      <c r="KW2" s="20" t="s">
        <v>272</v>
      </c>
      <c r="KX2" s="20" t="s">
        <v>273</v>
      </c>
      <c r="KY2" s="22" t="s">
        <v>393</v>
      </c>
      <c r="KZ2" s="20" t="s">
        <v>394</v>
      </c>
      <c r="LA2" s="20" t="s">
        <v>395</v>
      </c>
      <c r="LB2" s="20" t="s">
        <v>396</v>
      </c>
      <c r="LC2" s="20" t="s">
        <v>397</v>
      </c>
      <c r="LD2" s="22" t="s">
        <v>393</v>
      </c>
      <c r="LE2" s="20" t="s">
        <v>394</v>
      </c>
      <c r="LF2" s="20" t="s">
        <v>395</v>
      </c>
      <c r="LG2" s="20" t="s">
        <v>396</v>
      </c>
      <c r="LH2" s="20" t="s">
        <v>397</v>
      </c>
      <c r="LI2" s="22" t="s">
        <v>398</v>
      </c>
      <c r="LJ2" s="23" t="s">
        <v>399</v>
      </c>
      <c r="LK2" s="21" t="s">
        <v>400</v>
      </c>
      <c r="LL2" s="23" t="s">
        <v>401</v>
      </c>
      <c r="LM2" s="20" t="s">
        <v>402</v>
      </c>
      <c r="LN2" s="21" t="s">
        <v>403</v>
      </c>
      <c r="LO2" s="20" t="s">
        <v>272</v>
      </c>
      <c r="LP2" s="20" t="s">
        <v>273</v>
      </c>
      <c r="LQ2" s="22" t="s">
        <v>404</v>
      </c>
      <c r="LR2" s="20" t="s">
        <v>272</v>
      </c>
      <c r="LS2" s="20" t="s">
        <v>273</v>
      </c>
      <c r="LT2" s="20" t="s">
        <v>405</v>
      </c>
      <c r="LU2" s="20" t="s">
        <v>406</v>
      </c>
      <c r="LV2" s="20" t="s">
        <v>407</v>
      </c>
      <c r="LW2" s="20" t="s">
        <v>408</v>
      </c>
      <c r="LX2" s="20" t="s">
        <v>409</v>
      </c>
      <c r="LY2" s="20" t="s">
        <v>410</v>
      </c>
      <c r="LZ2" s="20" t="s">
        <v>411</v>
      </c>
      <c r="MA2" s="20" t="s">
        <v>412</v>
      </c>
      <c r="MB2" s="20" t="s">
        <v>413</v>
      </c>
      <c r="MC2" s="20" t="s">
        <v>414</v>
      </c>
      <c r="MD2" s="20" t="s">
        <v>415</v>
      </c>
      <c r="ME2" s="20" t="s">
        <v>416</v>
      </c>
      <c r="MF2" s="20" t="s">
        <v>417</v>
      </c>
      <c r="MG2" s="20" t="s">
        <v>418</v>
      </c>
      <c r="MH2" s="20" t="s">
        <v>419</v>
      </c>
      <c r="MI2" s="26" t="s">
        <v>420</v>
      </c>
      <c r="MJ2" s="22" t="s">
        <v>398</v>
      </c>
      <c r="MK2" s="22" t="s">
        <v>421</v>
      </c>
      <c r="ML2" s="26" t="s">
        <v>422</v>
      </c>
      <c r="MM2" s="23" t="s">
        <v>423</v>
      </c>
      <c r="MN2" s="21" t="s">
        <v>424</v>
      </c>
      <c r="MO2" s="22" t="s">
        <v>425</v>
      </c>
      <c r="MP2" s="20" t="s">
        <v>272</v>
      </c>
      <c r="MQ2" s="20" t="s">
        <v>273</v>
      </c>
      <c r="MR2" s="20" t="s">
        <v>426</v>
      </c>
      <c r="MS2" s="20" t="s">
        <v>427</v>
      </c>
      <c r="MT2" s="20" t="s">
        <v>428</v>
      </c>
      <c r="MU2" s="20" t="s">
        <v>429</v>
      </c>
      <c r="MV2" s="20" t="s">
        <v>430</v>
      </c>
      <c r="MW2" s="20" t="s">
        <v>431</v>
      </c>
      <c r="MX2" s="20" t="s">
        <v>432</v>
      </c>
      <c r="MY2" s="20" t="s">
        <v>433</v>
      </c>
      <c r="MZ2" s="20" t="s">
        <v>434</v>
      </c>
      <c r="NA2" s="20" t="s">
        <v>435</v>
      </c>
      <c r="NB2" s="20" t="s">
        <v>436</v>
      </c>
      <c r="NC2" s="20" t="s">
        <v>437</v>
      </c>
      <c r="ND2" s="20" t="s">
        <v>438</v>
      </c>
      <c r="NE2" s="20" t="s">
        <v>439</v>
      </c>
      <c r="NF2" s="20" t="s">
        <v>440</v>
      </c>
      <c r="NG2" s="24" t="s">
        <v>289</v>
      </c>
      <c r="NH2" s="21" t="s">
        <v>441</v>
      </c>
      <c r="NI2" s="20" t="s">
        <v>272</v>
      </c>
      <c r="NJ2" s="20" t="s">
        <v>273</v>
      </c>
      <c r="NK2" s="20" t="s">
        <v>442</v>
      </c>
      <c r="NL2" s="20" t="s">
        <v>443</v>
      </c>
      <c r="NM2" s="20" t="s">
        <v>444</v>
      </c>
      <c r="NN2" s="20" t="s">
        <v>445</v>
      </c>
      <c r="NO2" s="20" t="s">
        <v>446</v>
      </c>
      <c r="NP2" s="20" t="s">
        <v>447</v>
      </c>
      <c r="NQ2" s="20" t="s">
        <v>448</v>
      </c>
      <c r="NR2" s="20" t="s">
        <v>449</v>
      </c>
      <c r="NS2" s="20" t="s">
        <v>450</v>
      </c>
      <c r="NT2" s="20" t="s">
        <v>451</v>
      </c>
      <c r="NU2" s="20" t="s">
        <v>452</v>
      </c>
      <c r="NV2" s="20" t="s">
        <v>453</v>
      </c>
      <c r="NW2" s="20" t="s">
        <v>454</v>
      </c>
      <c r="NX2" s="20" t="s">
        <v>455</v>
      </c>
      <c r="NY2" s="20" t="s">
        <v>456</v>
      </c>
      <c r="NZ2" s="20" t="s">
        <v>457</v>
      </c>
      <c r="OA2" s="24" t="s">
        <v>458</v>
      </c>
      <c r="OB2" s="21" t="s">
        <v>459</v>
      </c>
      <c r="OC2" s="20" t="s">
        <v>272</v>
      </c>
      <c r="OD2" s="20" t="s">
        <v>273</v>
      </c>
      <c r="OE2" s="20" t="s">
        <v>460</v>
      </c>
      <c r="OF2" s="20" t="s">
        <v>461</v>
      </c>
      <c r="OG2" s="20" t="s">
        <v>462</v>
      </c>
      <c r="OH2" s="20" t="s">
        <v>463</v>
      </c>
      <c r="OI2" s="20" t="s">
        <v>464</v>
      </c>
      <c r="OJ2" s="20" t="s">
        <v>465</v>
      </c>
      <c r="OK2" s="20" t="s">
        <v>466</v>
      </c>
      <c r="OL2" s="20" t="s">
        <v>467</v>
      </c>
      <c r="OM2" s="20" t="s">
        <v>468</v>
      </c>
      <c r="ON2" s="20" t="s">
        <v>469</v>
      </c>
      <c r="OO2" s="20" t="s">
        <v>470</v>
      </c>
      <c r="OP2" s="20" t="s">
        <v>471</v>
      </c>
      <c r="OQ2" s="20" t="s">
        <v>472</v>
      </c>
      <c r="OR2" s="20" t="s">
        <v>473</v>
      </c>
      <c r="OS2" s="20" t="s">
        <v>474</v>
      </c>
      <c r="OT2" s="23" t="s">
        <v>475</v>
      </c>
      <c r="OU2" s="20" t="s">
        <v>476</v>
      </c>
      <c r="OV2" s="20" t="s">
        <v>477</v>
      </c>
      <c r="OW2" s="21" t="s">
        <v>478</v>
      </c>
      <c r="OX2" s="21" t="s">
        <v>479</v>
      </c>
      <c r="OY2" s="23" t="s">
        <v>480</v>
      </c>
      <c r="OZ2" s="21" t="s">
        <v>481</v>
      </c>
      <c r="PA2" s="20" t="s">
        <v>272</v>
      </c>
      <c r="PB2" s="20" t="s">
        <v>273</v>
      </c>
      <c r="PC2" s="24" t="s">
        <v>482</v>
      </c>
      <c r="PD2" s="21" t="s">
        <v>483</v>
      </c>
      <c r="PE2" s="20" t="s">
        <v>272</v>
      </c>
      <c r="PF2" s="20" t="s">
        <v>273</v>
      </c>
      <c r="PG2" s="26" t="s">
        <v>484</v>
      </c>
      <c r="PH2" s="20" t="s">
        <v>485</v>
      </c>
      <c r="PI2" s="20" t="s">
        <v>272</v>
      </c>
      <c r="PJ2" s="20" t="s">
        <v>273</v>
      </c>
      <c r="PK2" s="22" t="s">
        <v>99</v>
      </c>
      <c r="PL2" s="27" t="s">
        <v>486</v>
      </c>
      <c r="PM2" s="27" t="s">
        <v>487</v>
      </c>
      <c r="PN2" s="27" t="s">
        <v>488</v>
      </c>
      <c r="PO2" s="27" t="s">
        <v>489</v>
      </c>
      <c r="PP2" s="28" t="s">
        <v>490</v>
      </c>
      <c r="PQ2" s="29" t="s">
        <v>491</v>
      </c>
      <c r="PR2" s="28" t="s">
        <v>492</v>
      </c>
      <c r="PS2" s="29" t="s">
        <v>103</v>
      </c>
      <c r="PT2" s="28" t="s">
        <v>493</v>
      </c>
      <c r="PU2" s="29" t="s">
        <v>104</v>
      </c>
      <c r="PV2" s="28" t="s">
        <v>494</v>
      </c>
      <c r="PW2" s="29" t="s">
        <v>105</v>
      </c>
      <c r="PX2" s="28" t="s">
        <v>495</v>
      </c>
      <c r="PY2" s="29" t="s">
        <v>106</v>
      </c>
      <c r="PZ2" s="28" t="s">
        <v>496</v>
      </c>
      <c r="QA2" s="29" t="s">
        <v>497</v>
      </c>
      <c r="QB2" s="28" t="s">
        <v>498</v>
      </c>
      <c r="QC2" s="29" t="s">
        <v>499</v>
      </c>
      <c r="QD2" s="30" t="s">
        <v>272</v>
      </c>
      <c r="QE2" s="30" t="s">
        <v>273</v>
      </c>
      <c r="QF2" s="27" t="s">
        <v>109</v>
      </c>
      <c r="QG2" s="31" t="s">
        <v>500</v>
      </c>
      <c r="QH2" s="21" t="s">
        <v>110</v>
      </c>
    </row>
    <row r="3" spans="1:450" x14ac:dyDescent="0.25">
      <c r="A3">
        <v>50</v>
      </c>
      <c r="B3" t="s">
        <v>501</v>
      </c>
      <c r="C3" t="s">
        <v>502</v>
      </c>
      <c r="D3">
        <v>50001</v>
      </c>
      <c r="E3" t="s">
        <v>503</v>
      </c>
      <c r="F3">
        <v>50001</v>
      </c>
      <c r="G3" t="s">
        <v>504</v>
      </c>
      <c r="H3">
        <v>766.10726409103995</v>
      </c>
      <c r="I3">
        <v>36947</v>
      </c>
      <c r="J3">
        <v>0</v>
      </c>
      <c r="K3">
        <v>17577</v>
      </c>
      <c r="L3">
        <v>150</v>
      </c>
      <c r="M3">
        <v>14700</v>
      </c>
      <c r="N3">
        <v>265</v>
      </c>
      <c r="O3" s="8">
        <v>4530</v>
      </c>
      <c r="P3">
        <v>446</v>
      </c>
      <c r="Q3" s="9">
        <v>809</v>
      </c>
      <c r="R3">
        <v>169</v>
      </c>
      <c r="S3" s="10">
        <v>3824</v>
      </c>
      <c r="T3">
        <v>325</v>
      </c>
      <c r="U3" s="11">
        <v>1484</v>
      </c>
      <c r="V3">
        <v>185</v>
      </c>
      <c r="W3" s="12">
        <v>1985</v>
      </c>
      <c r="X3">
        <v>273</v>
      </c>
      <c r="Y3" s="13">
        <v>7409</v>
      </c>
      <c r="Z3">
        <v>43</v>
      </c>
      <c r="AA3" s="14">
        <v>6161</v>
      </c>
      <c r="AB3">
        <v>63</v>
      </c>
      <c r="AC3" s="8">
        <v>5681</v>
      </c>
      <c r="AD3">
        <v>473</v>
      </c>
      <c r="AE3" s="9">
        <v>482</v>
      </c>
      <c r="AF3">
        <v>97</v>
      </c>
      <c r="AG3" s="10">
        <v>112</v>
      </c>
      <c r="AH3">
        <v>90</v>
      </c>
      <c r="AI3" s="11">
        <v>2848</v>
      </c>
      <c r="AJ3">
        <v>198</v>
      </c>
      <c r="AK3" s="12">
        <v>419</v>
      </c>
      <c r="AL3">
        <v>121</v>
      </c>
      <c r="AM3" s="13">
        <v>1355</v>
      </c>
      <c r="AN3">
        <v>168</v>
      </c>
      <c r="AO3" s="14">
        <v>188</v>
      </c>
      <c r="AP3">
        <v>93</v>
      </c>
      <c r="AQ3" s="8">
        <v>730</v>
      </c>
      <c r="AR3">
        <v>163</v>
      </c>
      <c r="AS3" s="9">
        <v>3138</v>
      </c>
      <c r="AT3">
        <v>309</v>
      </c>
      <c r="AU3">
        <v>13.4</v>
      </c>
      <c r="AV3">
        <v>1.3</v>
      </c>
      <c r="AW3">
        <v>3.9</v>
      </c>
      <c r="AX3">
        <v>0.8</v>
      </c>
      <c r="AY3">
        <v>26</v>
      </c>
      <c r="AZ3">
        <v>2.2000000000000002</v>
      </c>
      <c r="BA3">
        <v>5.8</v>
      </c>
      <c r="BB3">
        <v>0.7</v>
      </c>
      <c r="BC3">
        <v>5.4</v>
      </c>
      <c r="BD3">
        <v>0.7</v>
      </c>
      <c r="BE3">
        <v>20.100000000000001</v>
      </c>
      <c r="BF3">
        <v>0.1</v>
      </c>
      <c r="BG3">
        <v>16.7</v>
      </c>
      <c r="BH3">
        <v>0.2</v>
      </c>
      <c r="BI3">
        <v>15.5</v>
      </c>
      <c r="BJ3">
        <v>1.3</v>
      </c>
      <c r="BK3">
        <v>3.3</v>
      </c>
      <c r="BL3">
        <v>0.7</v>
      </c>
      <c r="BM3">
        <v>0.3</v>
      </c>
      <c r="BN3">
        <v>0.3</v>
      </c>
      <c r="BO3">
        <v>7.7</v>
      </c>
      <c r="BP3">
        <v>0.5</v>
      </c>
      <c r="BQ3">
        <v>2.4</v>
      </c>
      <c r="BR3">
        <v>0.7</v>
      </c>
      <c r="BS3">
        <v>7.7</v>
      </c>
      <c r="BT3">
        <v>0.9</v>
      </c>
      <c r="BU3">
        <v>1.3</v>
      </c>
      <c r="BV3">
        <v>0.6</v>
      </c>
      <c r="BW3">
        <v>5</v>
      </c>
      <c r="BX3">
        <v>1.1000000000000001</v>
      </c>
      <c r="BY3">
        <v>8.5</v>
      </c>
      <c r="BZ3">
        <v>0.8</v>
      </c>
      <c r="CA3">
        <v>7.6899999999999996E-2</v>
      </c>
      <c r="CB3">
        <v>0.53849999999999998</v>
      </c>
      <c r="CC3">
        <v>0.46150000000000002</v>
      </c>
      <c r="CD3">
        <v>0.15379999999999999</v>
      </c>
      <c r="CE3">
        <v>0.92310000000000003</v>
      </c>
      <c r="CF3">
        <v>2.1537999999999999</v>
      </c>
      <c r="CG3">
        <v>0.30769999999999997</v>
      </c>
      <c r="CH3">
        <v>0.30769999999999997</v>
      </c>
      <c r="CI3">
        <v>0</v>
      </c>
      <c r="CJ3">
        <v>0.61539999999999995</v>
      </c>
      <c r="CK3">
        <v>7.6899999999999996E-2</v>
      </c>
      <c r="CL3">
        <v>0.53849999999999998</v>
      </c>
      <c r="CM3">
        <v>1.5385</v>
      </c>
      <c r="CN3">
        <v>7.6899999999999996E-2</v>
      </c>
      <c r="CO3">
        <v>0.84619999999999995</v>
      </c>
      <c r="CP3">
        <v>0.84619999999999995</v>
      </c>
      <c r="CQ3">
        <v>0.84619999999999995</v>
      </c>
      <c r="CR3">
        <v>0.3846</v>
      </c>
      <c r="CS3">
        <v>0.53849999999999998</v>
      </c>
      <c r="CT3">
        <v>0.3846</v>
      </c>
      <c r="CU3">
        <v>0.23080000000000001</v>
      </c>
      <c r="CV3">
        <v>1</v>
      </c>
      <c r="CW3">
        <v>2.5385</v>
      </c>
      <c r="CX3">
        <v>0.46150000000000002</v>
      </c>
      <c r="CY3">
        <v>7.077</v>
      </c>
      <c r="CZ3">
        <v>0.23080000000000001</v>
      </c>
      <c r="DA3">
        <v>0</v>
      </c>
      <c r="DB3">
        <v>0</v>
      </c>
      <c r="DC3">
        <v>0</v>
      </c>
      <c r="DD3">
        <v>0</v>
      </c>
      <c r="DE3">
        <v>1</v>
      </c>
      <c r="DF3">
        <v>1</v>
      </c>
      <c r="DG3">
        <v>0</v>
      </c>
      <c r="DH3">
        <v>0</v>
      </c>
      <c r="DI3">
        <v>0</v>
      </c>
      <c r="DJ3">
        <v>0</v>
      </c>
      <c r="DK3">
        <v>0</v>
      </c>
      <c r="DL3">
        <v>0</v>
      </c>
      <c r="DM3">
        <v>0</v>
      </c>
      <c r="DN3">
        <v>0</v>
      </c>
      <c r="DO3">
        <v>0</v>
      </c>
      <c r="DP3">
        <v>0</v>
      </c>
      <c r="DQ3">
        <v>0</v>
      </c>
      <c r="DR3">
        <v>0</v>
      </c>
      <c r="DS3">
        <v>1</v>
      </c>
      <c r="DT3">
        <v>1</v>
      </c>
      <c r="DU3">
        <v>2</v>
      </c>
      <c r="DV3">
        <v>32286</v>
      </c>
      <c r="DW3">
        <v>3539</v>
      </c>
      <c r="DX3">
        <v>606</v>
      </c>
      <c r="DY3" s="8">
        <v>371</v>
      </c>
      <c r="DZ3">
        <v>91</v>
      </c>
      <c r="EA3" s="9">
        <v>885</v>
      </c>
      <c r="EB3">
        <v>0</v>
      </c>
      <c r="EC3" s="10">
        <v>719</v>
      </c>
      <c r="ED3">
        <v>65</v>
      </c>
      <c r="EE3" s="11">
        <v>105</v>
      </c>
      <c r="EF3">
        <v>32</v>
      </c>
      <c r="EG3" s="12">
        <v>18</v>
      </c>
      <c r="EH3">
        <v>22</v>
      </c>
      <c r="EI3" s="13">
        <v>716</v>
      </c>
      <c r="EJ3">
        <v>119</v>
      </c>
      <c r="EK3" s="14">
        <v>34</v>
      </c>
      <c r="EL3">
        <v>34</v>
      </c>
      <c r="EM3">
        <v>10.5</v>
      </c>
      <c r="EN3">
        <v>0.1</v>
      </c>
      <c r="EO3">
        <v>1</v>
      </c>
      <c r="EP3">
        <v>0.2</v>
      </c>
      <c r="EQ3">
        <v>2.4</v>
      </c>
      <c r="ER3">
        <v>0</v>
      </c>
      <c r="ES3">
        <v>1.9</v>
      </c>
      <c r="ET3">
        <v>0.2</v>
      </c>
      <c r="EU3">
        <v>0.3</v>
      </c>
      <c r="EV3">
        <v>0.1</v>
      </c>
      <c r="EW3">
        <v>0</v>
      </c>
      <c r="EX3">
        <v>0.1</v>
      </c>
      <c r="EY3">
        <v>1.9</v>
      </c>
      <c r="EZ3">
        <v>0.3</v>
      </c>
      <c r="FA3">
        <v>0.1</v>
      </c>
      <c r="FB3">
        <v>0.1</v>
      </c>
      <c r="FC3" s="32"/>
      <c r="FD3" s="33"/>
      <c r="FE3" s="34">
        <v>81.344859424000006</v>
      </c>
      <c r="FF3" s="34">
        <v>80.506519859999997</v>
      </c>
      <c r="FG3" s="34">
        <v>82.183198986999997</v>
      </c>
      <c r="FH3" s="34"/>
      <c r="FI3" s="34"/>
      <c r="FJ3" s="34"/>
      <c r="FK3" s="34"/>
      <c r="FL3" s="34"/>
      <c r="FM3" s="34"/>
      <c r="FN3" s="34"/>
      <c r="FO3" s="34"/>
      <c r="FP3" s="34"/>
      <c r="FQ3" s="34"/>
      <c r="FR3" s="34"/>
      <c r="FS3" s="34"/>
      <c r="FT3" s="34"/>
      <c r="FU3" s="34"/>
      <c r="FV3" s="35"/>
      <c r="FW3" s="36">
        <v>369</v>
      </c>
      <c r="FX3" s="36">
        <v>246.93384266999999</v>
      </c>
      <c r="FY3" s="36">
        <v>219.26921259</v>
      </c>
      <c r="FZ3" s="36">
        <v>274.59847274999998</v>
      </c>
      <c r="GA3" s="36"/>
      <c r="GB3" s="36"/>
      <c r="GC3" s="36"/>
      <c r="GD3" s="36"/>
      <c r="GE3" s="36"/>
      <c r="GF3" s="36"/>
      <c r="GG3" s="36"/>
      <c r="GH3" s="36"/>
      <c r="GI3" s="36"/>
      <c r="GJ3" s="36"/>
      <c r="GK3" s="36"/>
      <c r="GL3" s="36"/>
      <c r="GM3" s="36"/>
      <c r="GN3" s="36"/>
      <c r="GO3" s="33"/>
      <c r="GP3" s="36"/>
      <c r="GQ3" s="36"/>
      <c r="GR3" s="36"/>
      <c r="GS3" s="36"/>
      <c r="GT3" s="36"/>
      <c r="GU3" s="36"/>
      <c r="GV3" s="36"/>
      <c r="GW3" s="36"/>
      <c r="GX3" s="36"/>
      <c r="GY3" s="36"/>
      <c r="GZ3" s="36"/>
      <c r="HA3" s="36"/>
      <c r="HB3" s="36"/>
      <c r="HC3" s="36"/>
      <c r="HD3" s="36"/>
      <c r="HE3" s="36"/>
      <c r="HF3" s="36"/>
      <c r="HG3" s="36"/>
      <c r="HH3" s="33"/>
      <c r="HI3" s="36"/>
      <c r="HJ3" s="36"/>
      <c r="HK3" s="36"/>
      <c r="HL3" s="36"/>
      <c r="HM3" s="36"/>
      <c r="HN3" s="36"/>
      <c r="HO3" s="36"/>
      <c r="HP3" s="36"/>
      <c r="HQ3" s="36"/>
      <c r="HR3" s="36"/>
      <c r="HS3" s="36"/>
      <c r="HT3" s="36"/>
      <c r="HU3" s="36"/>
      <c r="HV3" s="36"/>
      <c r="HW3" s="36"/>
      <c r="HX3" s="36"/>
      <c r="HY3" s="36"/>
      <c r="HZ3" s="36"/>
      <c r="IA3" s="33"/>
      <c r="IB3" s="37">
        <f>ROUND(IC3/100*PK3,0)</f>
        <v>3759</v>
      </c>
      <c r="IC3" s="38">
        <v>10.199999999999999</v>
      </c>
      <c r="ID3" s="36">
        <v>9.1</v>
      </c>
      <c r="IE3" s="33">
        <v>11.5</v>
      </c>
      <c r="IF3" s="37">
        <f>ROUND(IG3/100*PK3,0)</f>
        <v>4827</v>
      </c>
      <c r="IG3" s="38">
        <v>13.1</v>
      </c>
      <c r="IH3" s="36">
        <v>11.7</v>
      </c>
      <c r="II3" s="33">
        <v>14.6</v>
      </c>
      <c r="IJ3" s="37">
        <f>ROUND(IK3/100*PK3,0)</f>
        <v>2469</v>
      </c>
      <c r="IK3" s="38">
        <v>6.7</v>
      </c>
      <c r="IL3" s="36">
        <v>6</v>
      </c>
      <c r="IM3" s="33">
        <v>7.3</v>
      </c>
      <c r="IN3" s="37">
        <v>9</v>
      </c>
      <c r="IO3" s="33">
        <v>27.7</v>
      </c>
      <c r="IP3" s="37">
        <v>3230</v>
      </c>
      <c r="IQ3" s="33">
        <v>8.8000000000000007</v>
      </c>
      <c r="IR3" s="37">
        <v>557.72568027</v>
      </c>
      <c r="IS3" s="33">
        <v>1.51469455</v>
      </c>
      <c r="IT3" s="37">
        <v>11</v>
      </c>
      <c r="IU3" s="36">
        <v>9.9456605274999994</v>
      </c>
      <c r="IV3" s="36">
        <v>4.9648379013000001</v>
      </c>
      <c r="IW3" s="36">
        <v>17.795533958</v>
      </c>
      <c r="IX3" s="36"/>
      <c r="IY3" s="36"/>
      <c r="IZ3" s="36"/>
      <c r="JA3" s="36"/>
      <c r="JB3" s="36"/>
      <c r="JC3" s="36"/>
      <c r="JD3" s="36"/>
      <c r="JE3" s="36"/>
      <c r="JF3" s="36"/>
      <c r="JG3" s="36"/>
      <c r="JH3" s="36"/>
      <c r="JI3" s="36"/>
      <c r="JJ3" s="36"/>
      <c r="JK3" s="36"/>
      <c r="JL3" s="33"/>
      <c r="JM3" s="36">
        <v>24</v>
      </c>
      <c r="JN3" s="36">
        <v>9.2886446319000004</v>
      </c>
      <c r="JO3" s="36">
        <v>5.9514098826000001</v>
      </c>
      <c r="JP3" s="36">
        <v>13.82076693</v>
      </c>
      <c r="JQ3" s="36"/>
      <c r="JR3" s="36"/>
      <c r="JS3" s="36"/>
      <c r="JT3" s="36"/>
      <c r="JU3" s="36"/>
      <c r="JV3" s="36"/>
      <c r="JW3" s="36"/>
      <c r="JX3" s="36"/>
      <c r="JY3" s="36"/>
      <c r="JZ3" s="36"/>
      <c r="KA3" s="36"/>
      <c r="KB3" s="36"/>
      <c r="KC3" s="36"/>
      <c r="KD3" s="36"/>
      <c r="KE3" s="33"/>
      <c r="KF3" s="37">
        <f>ROUND(KG3/100*PK3,0)</f>
        <v>11050</v>
      </c>
      <c r="KG3" s="38">
        <v>29.986619647000001</v>
      </c>
      <c r="KH3" s="36">
        <v>28.206238867</v>
      </c>
      <c r="KI3" s="33">
        <v>31.592797158</v>
      </c>
      <c r="KJ3" s="37">
        <v>1545</v>
      </c>
      <c r="KK3" s="36">
        <v>7.4742392724000002</v>
      </c>
      <c r="KL3" s="36">
        <v>6.2827499106999998</v>
      </c>
      <c r="KM3" s="33">
        <v>8.6657286341000006</v>
      </c>
      <c r="KN3" s="37">
        <v>121</v>
      </c>
      <c r="KO3" s="36">
        <v>1.9127410685999999</v>
      </c>
      <c r="KP3" s="36">
        <v>1.3169963877999999</v>
      </c>
      <c r="KQ3" s="33">
        <v>2.5084857495000001</v>
      </c>
      <c r="KR3" s="36">
        <v>84.122550000000004</v>
      </c>
      <c r="KS3" s="39" t="s">
        <v>505</v>
      </c>
      <c r="KT3" s="36">
        <v>332</v>
      </c>
      <c r="KU3" s="33">
        <v>86.762048192999998</v>
      </c>
      <c r="KV3" s="36"/>
      <c r="KW3" s="36"/>
      <c r="KX3" s="33"/>
      <c r="KY3" s="34"/>
      <c r="KZ3" s="34"/>
      <c r="LA3" s="34"/>
      <c r="LB3" s="34"/>
      <c r="LC3" s="35"/>
      <c r="LD3" s="34"/>
      <c r="LE3" s="34"/>
      <c r="LF3" s="34"/>
      <c r="LG3" s="34"/>
      <c r="LH3" s="35"/>
      <c r="LI3" s="40">
        <v>7.8730963700000003E-2</v>
      </c>
      <c r="LJ3" s="36"/>
      <c r="LK3" s="33"/>
      <c r="LL3" s="36">
        <v>46271</v>
      </c>
      <c r="LM3" s="36">
        <v>53422</v>
      </c>
      <c r="LN3" s="41">
        <v>0.86614129009999996</v>
      </c>
      <c r="LO3" s="41">
        <v>0.81668356929999997</v>
      </c>
      <c r="LP3" s="40">
        <v>0.91559901089999995</v>
      </c>
      <c r="LQ3" s="36">
        <v>73049</v>
      </c>
      <c r="LR3" s="36">
        <v>64632.319149000003</v>
      </c>
      <c r="LS3" s="36">
        <v>81465.680850999997</v>
      </c>
      <c r="LT3" s="36">
        <v>78214</v>
      </c>
      <c r="LU3" s="36">
        <v>626.59574468000005</v>
      </c>
      <c r="LV3" s="36">
        <v>155801.40426000001</v>
      </c>
      <c r="LW3" s="36"/>
      <c r="LX3" s="36"/>
      <c r="LY3" s="36"/>
      <c r="LZ3" s="36">
        <v>107734</v>
      </c>
      <c r="MA3" s="36">
        <v>35242.595744999999</v>
      </c>
      <c r="MB3" s="36">
        <v>180225.40426000001</v>
      </c>
      <c r="MC3" s="36"/>
      <c r="MD3" s="36"/>
      <c r="ME3" s="36"/>
      <c r="MF3" s="36">
        <v>70545</v>
      </c>
      <c r="MG3" s="36">
        <v>66682.191489000004</v>
      </c>
      <c r="MH3" s="33">
        <v>74407.808510999996</v>
      </c>
      <c r="MI3" s="42">
        <v>28.348214286000001</v>
      </c>
      <c r="MJ3" s="33">
        <v>69.582850140000005</v>
      </c>
      <c r="MK3" s="33">
        <v>29.982248628000001</v>
      </c>
      <c r="ML3" s="42">
        <v>25.737518651999999</v>
      </c>
      <c r="MM3" s="36">
        <v>53</v>
      </c>
      <c r="MN3" s="33">
        <v>34.282018110999999</v>
      </c>
      <c r="MO3" s="36"/>
      <c r="MP3" s="36"/>
      <c r="MQ3" s="36"/>
      <c r="MR3" s="36"/>
      <c r="MS3" s="36"/>
      <c r="MT3" s="36"/>
      <c r="MU3" s="36"/>
      <c r="MV3" s="36"/>
      <c r="MW3" s="36"/>
      <c r="MX3" s="36"/>
      <c r="MY3" s="36"/>
      <c r="MZ3" s="36"/>
      <c r="NA3" s="36"/>
      <c r="NB3" s="36"/>
      <c r="NC3" s="36"/>
      <c r="ND3" s="36"/>
      <c r="NE3" s="36"/>
      <c r="NF3" s="33"/>
      <c r="NG3" s="37">
        <v>22</v>
      </c>
      <c r="NH3" s="36">
        <v>9.1216872979999994</v>
      </c>
      <c r="NI3" s="36">
        <v>5.4918516224999996</v>
      </c>
      <c r="NJ3" s="36">
        <v>14.244644639000001</v>
      </c>
      <c r="NK3" s="36">
        <v>11.934727887999999</v>
      </c>
      <c r="NL3" s="36"/>
      <c r="NM3" s="36"/>
      <c r="NN3" s="36"/>
      <c r="NO3" s="36"/>
      <c r="NP3" s="36"/>
      <c r="NQ3" s="36"/>
      <c r="NR3" s="36"/>
      <c r="NS3" s="36"/>
      <c r="NT3" s="36"/>
      <c r="NU3" s="36"/>
      <c r="NV3" s="36"/>
      <c r="NW3" s="36"/>
      <c r="NX3" s="36"/>
      <c r="NY3" s="36"/>
      <c r="NZ3" s="33"/>
      <c r="OA3" s="37">
        <v>14</v>
      </c>
      <c r="OB3" s="36">
        <v>7.5948268379000003</v>
      </c>
      <c r="OC3" s="36">
        <v>4.1521625055999998</v>
      </c>
      <c r="OD3" s="36">
        <v>12.742828921999999</v>
      </c>
      <c r="OE3" s="36"/>
      <c r="OF3" s="36"/>
      <c r="OG3" s="36"/>
      <c r="OH3" s="36"/>
      <c r="OI3" s="36"/>
      <c r="OJ3" s="36"/>
      <c r="OK3" s="36"/>
      <c r="OL3" s="36"/>
      <c r="OM3" s="36"/>
      <c r="ON3" s="36"/>
      <c r="OO3" s="36"/>
      <c r="OP3" s="36"/>
      <c r="OQ3" s="36"/>
      <c r="OR3" s="36"/>
      <c r="OS3" s="33"/>
      <c r="OT3" s="43"/>
      <c r="OU3" s="44">
        <v>28</v>
      </c>
      <c r="OV3" s="36">
        <v>2900</v>
      </c>
      <c r="OW3" s="36">
        <v>9.6551724138000008</v>
      </c>
      <c r="OX3" s="33">
        <v>50.882049709</v>
      </c>
      <c r="OY3" s="36">
        <v>11067</v>
      </c>
      <c r="OZ3" s="36">
        <v>75.285714286000001</v>
      </c>
      <c r="PA3" s="36">
        <v>73.670305747</v>
      </c>
      <c r="PB3" s="33">
        <v>76.901122823999998</v>
      </c>
      <c r="PC3" s="37">
        <v>1705</v>
      </c>
      <c r="PD3" s="36">
        <v>11.917243307</v>
      </c>
      <c r="PE3" s="36">
        <v>10.230021367999999</v>
      </c>
      <c r="PF3" s="33">
        <v>13.604465247</v>
      </c>
      <c r="PG3" s="45">
        <v>85.170068026999999</v>
      </c>
      <c r="PH3" s="36">
        <v>12520</v>
      </c>
      <c r="PI3" s="36">
        <v>83.229848306999997</v>
      </c>
      <c r="PJ3" s="33">
        <v>87.110287747000001</v>
      </c>
      <c r="PK3" s="33">
        <v>36851</v>
      </c>
      <c r="PL3" s="33">
        <f>ROUND(PM3/100*PK3,0)</f>
        <v>5977</v>
      </c>
      <c r="PM3" s="35">
        <v>16.219369895</v>
      </c>
      <c r="PN3" s="33">
        <f>ROUND(PO3/100*PK3,0)</f>
        <v>8016</v>
      </c>
      <c r="PO3" s="35">
        <v>21.752462619999999</v>
      </c>
      <c r="PP3" s="36">
        <v>478</v>
      </c>
      <c r="PQ3" s="35">
        <v>1.2971154107</v>
      </c>
      <c r="PR3" s="36">
        <v>113</v>
      </c>
      <c r="PS3" s="35">
        <v>0.306640254</v>
      </c>
      <c r="PT3" s="36">
        <v>658</v>
      </c>
      <c r="PU3" s="35">
        <v>1.7855689126000001</v>
      </c>
      <c r="PV3" s="36">
        <v>14</v>
      </c>
      <c r="PW3" s="35">
        <v>3.7990827900000003E-2</v>
      </c>
      <c r="PX3" s="36">
        <v>911</v>
      </c>
      <c r="PY3" s="35">
        <v>2.4721174458999999</v>
      </c>
      <c r="PZ3" s="36">
        <v>34030</v>
      </c>
      <c r="QA3" s="35">
        <v>92.344848171999999</v>
      </c>
      <c r="QB3" s="36">
        <v>112</v>
      </c>
      <c r="QC3" s="36">
        <v>0.31637524360000002</v>
      </c>
      <c r="QD3" s="36">
        <v>1.1079258200000001E-2</v>
      </c>
      <c r="QE3" s="33">
        <v>0.62167122909999994</v>
      </c>
      <c r="QF3" s="35">
        <v>50.123470191000003</v>
      </c>
      <c r="QG3" s="38">
        <v>28879</v>
      </c>
      <c r="QH3" s="35">
        <v>78.430786779000002</v>
      </c>
    </row>
    <row r="4" spans="1:450" x14ac:dyDescent="0.25">
      <c r="A4">
        <v>50</v>
      </c>
      <c r="B4" t="s">
        <v>501</v>
      </c>
      <c r="C4" t="s">
        <v>502</v>
      </c>
      <c r="D4">
        <v>50003</v>
      </c>
      <c r="E4" t="s">
        <v>506</v>
      </c>
      <c r="F4">
        <v>50003</v>
      </c>
      <c r="G4" t="s">
        <v>507</v>
      </c>
      <c r="H4">
        <v>674.80630948167197</v>
      </c>
      <c r="I4">
        <v>35649</v>
      </c>
      <c r="J4">
        <v>0</v>
      </c>
      <c r="K4">
        <v>21189</v>
      </c>
      <c r="L4">
        <v>116</v>
      </c>
      <c r="M4">
        <v>14585</v>
      </c>
      <c r="N4">
        <v>349</v>
      </c>
      <c r="O4" s="8">
        <v>6731</v>
      </c>
      <c r="P4">
        <v>764</v>
      </c>
      <c r="Q4" s="9">
        <v>734</v>
      </c>
      <c r="R4">
        <v>183</v>
      </c>
      <c r="S4" s="10">
        <v>4310</v>
      </c>
      <c r="T4">
        <v>471</v>
      </c>
      <c r="U4" s="11">
        <v>1880</v>
      </c>
      <c r="V4">
        <v>290</v>
      </c>
      <c r="W4" s="12">
        <v>1506</v>
      </c>
      <c r="X4">
        <v>271</v>
      </c>
      <c r="Y4" s="13">
        <v>8069</v>
      </c>
      <c r="Z4">
        <v>52</v>
      </c>
      <c r="AA4" s="14">
        <v>6723</v>
      </c>
      <c r="AB4">
        <v>135</v>
      </c>
      <c r="AC4" s="8">
        <v>6105</v>
      </c>
      <c r="AD4">
        <v>542</v>
      </c>
      <c r="AE4" s="9">
        <v>824</v>
      </c>
      <c r="AF4">
        <v>198</v>
      </c>
      <c r="AG4" s="10">
        <v>19</v>
      </c>
      <c r="AH4">
        <v>78</v>
      </c>
      <c r="AI4" s="11">
        <v>2256</v>
      </c>
      <c r="AJ4">
        <v>271</v>
      </c>
      <c r="AK4" s="12">
        <v>869</v>
      </c>
      <c r="AL4">
        <v>203</v>
      </c>
      <c r="AM4" s="13">
        <v>1113</v>
      </c>
      <c r="AN4">
        <v>190</v>
      </c>
      <c r="AO4" s="14">
        <v>140</v>
      </c>
      <c r="AP4">
        <v>70</v>
      </c>
      <c r="AQ4" s="8">
        <v>1343</v>
      </c>
      <c r="AR4">
        <v>310</v>
      </c>
      <c r="AS4" s="9">
        <v>1459</v>
      </c>
      <c r="AT4">
        <v>238</v>
      </c>
      <c r="AU4">
        <v>19.600000000000001</v>
      </c>
      <c r="AV4">
        <v>2.2000000000000002</v>
      </c>
      <c r="AW4">
        <v>4.0999999999999996</v>
      </c>
      <c r="AX4">
        <v>1</v>
      </c>
      <c r="AY4">
        <v>29.6</v>
      </c>
      <c r="AZ4">
        <v>3.2</v>
      </c>
      <c r="BA4">
        <v>7.4</v>
      </c>
      <c r="BB4">
        <v>1.1000000000000001</v>
      </c>
      <c r="BC4">
        <v>4.3</v>
      </c>
      <c r="BD4">
        <v>0.8</v>
      </c>
      <c r="BE4">
        <v>22.6</v>
      </c>
      <c r="BF4">
        <v>0.1</v>
      </c>
      <c r="BG4">
        <v>18.899999999999999</v>
      </c>
      <c r="BH4">
        <v>0.4</v>
      </c>
      <c r="BI4">
        <v>17.3</v>
      </c>
      <c r="BJ4">
        <v>1.6</v>
      </c>
      <c r="BK4">
        <v>5.6</v>
      </c>
      <c r="BL4">
        <v>1.4</v>
      </c>
      <c r="BM4">
        <v>0.1</v>
      </c>
      <c r="BN4">
        <v>0.2</v>
      </c>
      <c r="BO4">
        <v>6.3</v>
      </c>
      <c r="BP4">
        <v>0.8</v>
      </c>
      <c r="BQ4">
        <v>4.0999999999999996</v>
      </c>
      <c r="BR4">
        <v>1</v>
      </c>
      <c r="BS4">
        <v>5.3</v>
      </c>
      <c r="BT4">
        <v>0.9</v>
      </c>
      <c r="BU4">
        <v>1</v>
      </c>
      <c r="BV4">
        <v>0.5</v>
      </c>
      <c r="BW4">
        <v>9.1999999999999993</v>
      </c>
      <c r="BX4">
        <v>2.1</v>
      </c>
      <c r="BY4">
        <v>4.0999999999999996</v>
      </c>
      <c r="BZ4">
        <v>0.7</v>
      </c>
      <c r="CA4">
        <v>0.69230000000000003</v>
      </c>
      <c r="CB4">
        <v>0.61539999999999995</v>
      </c>
      <c r="CC4">
        <v>0.53849999999999998</v>
      </c>
      <c r="CD4">
        <v>0.69230000000000003</v>
      </c>
      <c r="CE4">
        <v>0.3846</v>
      </c>
      <c r="CF4">
        <v>2.9230999999999998</v>
      </c>
      <c r="CG4">
        <v>0.84619999999999995</v>
      </c>
      <c r="CH4">
        <v>0.69230000000000003</v>
      </c>
      <c r="CI4">
        <v>0.69230000000000003</v>
      </c>
      <c r="CJ4">
        <v>0.92310000000000003</v>
      </c>
      <c r="CK4">
        <v>0.76919999999999999</v>
      </c>
      <c r="CL4">
        <v>0</v>
      </c>
      <c r="CM4">
        <v>3.0769000000000002</v>
      </c>
      <c r="CN4">
        <v>0.76919999999999999</v>
      </c>
      <c r="CO4">
        <v>0.53849999999999998</v>
      </c>
      <c r="CP4">
        <v>0.53849999999999998</v>
      </c>
      <c r="CQ4">
        <v>0.53849999999999998</v>
      </c>
      <c r="CR4">
        <v>0.61539999999999995</v>
      </c>
      <c r="CS4">
        <v>7.6899999999999996E-2</v>
      </c>
      <c r="CT4">
        <v>0.23080000000000001</v>
      </c>
      <c r="CU4">
        <v>1</v>
      </c>
      <c r="CV4">
        <v>0.69230000000000003</v>
      </c>
      <c r="CW4">
        <v>2.6154000000000002</v>
      </c>
      <c r="CX4">
        <v>0.53849999999999998</v>
      </c>
      <c r="CY4">
        <v>9.1539000000000001</v>
      </c>
      <c r="CZ4">
        <v>0.92310000000000003</v>
      </c>
      <c r="DA4">
        <v>0</v>
      </c>
      <c r="DB4">
        <v>0</v>
      </c>
      <c r="DC4">
        <v>0</v>
      </c>
      <c r="DD4">
        <v>0</v>
      </c>
      <c r="DE4">
        <v>0</v>
      </c>
      <c r="DF4">
        <v>0</v>
      </c>
      <c r="DG4">
        <v>0</v>
      </c>
      <c r="DH4">
        <v>0</v>
      </c>
      <c r="DI4">
        <v>1</v>
      </c>
      <c r="DJ4">
        <v>0</v>
      </c>
      <c r="DK4">
        <v>0</v>
      </c>
      <c r="DL4">
        <v>1</v>
      </c>
      <c r="DM4">
        <v>0</v>
      </c>
      <c r="DN4">
        <v>0</v>
      </c>
      <c r="DO4">
        <v>0</v>
      </c>
      <c r="DP4">
        <v>0</v>
      </c>
      <c r="DQ4">
        <v>0</v>
      </c>
      <c r="DR4">
        <v>1</v>
      </c>
      <c r="DS4">
        <v>0</v>
      </c>
      <c r="DT4">
        <v>1</v>
      </c>
      <c r="DU4">
        <v>2</v>
      </c>
      <c r="DV4">
        <v>37011</v>
      </c>
      <c r="DW4">
        <v>4884</v>
      </c>
      <c r="DX4">
        <v>894</v>
      </c>
      <c r="DY4" s="8">
        <v>272</v>
      </c>
      <c r="DZ4">
        <v>148</v>
      </c>
      <c r="EA4" s="9">
        <v>753</v>
      </c>
      <c r="EB4">
        <v>0</v>
      </c>
      <c r="EC4" s="10">
        <v>321</v>
      </c>
      <c r="ED4">
        <v>90</v>
      </c>
      <c r="EE4" s="11">
        <v>107</v>
      </c>
      <c r="EF4">
        <v>58</v>
      </c>
      <c r="EG4" s="12">
        <v>46</v>
      </c>
      <c r="EH4">
        <v>68</v>
      </c>
      <c r="EI4" s="13">
        <v>715</v>
      </c>
      <c r="EJ4">
        <v>161</v>
      </c>
      <c r="EK4" s="14">
        <v>42</v>
      </c>
      <c r="EL4">
        <v>42</v>
      </c>
      <c r="EM4">
        <v>14.3</v>
      </c>
      <c r="EN4">
        <v>0.1</v>
      </c>
      <c r="EO4">
        <v>0.8</v>
      </c>
      <c r="EP4">
        <v>0.4</v>
      </c>
      <c r="EQ4">
        <v>2.1</v>
      </c>
      <c r="ER4">
        <v>0</v>
      </c>
      <c r="ES4">
        <v>0.9</v>
      </c>
      <c r="ET4">
        <v>0.3</v>
      </c>
      <c r="EU4">
        <v>0.3</v>
      </c>
      <c r="EV4">
        <v>0.2</v>
      </c>
      <c r="EW4">
        <v>0.1</v>
      </c>
      <c r="EX4">
        <v>0.2</v>
      </c>
      <c r="EY4">
        <v>2</v>
      </c>
      <c r="EZ4">
        <v>0.5</v>
      </c>
      <c r="FA4">
        <v>0.1</v>
      </c>
      <c r="FB4">
        <v>0.1</v>
      </c>
      <c r="FC4" s="32"/>
      <c r="FD4" s="33"/>
      <c r="FE4" s="34">
        <v>77.721940297000003</v>
      </c>
      <c r="FF4" s="34">
        <v>76.790886553000007</v>
      </c>
      <c r="FG4" s="34">
        <v>78.652994039999996</v>
      </c>
      <c r="FH4" s="34"/>
      <c r="FI4" s="34"/>
      <c r="FJ4" s="34"/>
      <c r="FK4" s="34"/>
      <c r="FL4" s="34"/>
      <c r="FM4" s="34"/>
      <c r="FN4" s="34"/>
      <c r="FO4" s="34"/>
      <c r="FP4" s="34"/>
      <c r="FQ4" s="34"/>
      <c r="FR4" s="34"/>
      <c r="FS4" s="34"/>
      <c r="FT4" s="34"/>
      <c r="FU4" s="34"/>
      <c r="FV4" s="35"/>
      <c r="FW4" s="36">
        <v>536</v>
      </c>
      <c r="FX4" s="36">
        <v>372.70456660999997</v>
      </c>
      <c r="FY4" s="36">
        <v>337.60897148999999</v>
      </c>
      <c r="FZ4" s="36">
        <v>407.80016173000001</v>
      </c>
      <c r="GA4" s="36"/>
      <c r="GB4" s="36"/>
      <c r="GC4" s="36"/>
      <c r="GD4" s="36"/>
      <c r="GE4" s="36"/>
      <c r="GF4" s="36"/>
      <c r="GG4" s="36"/>
      <c r="GH4" s="36"/>
      <c r="GI4" s="36"/>
      <c r="GJ4" s="36"/>
      <c r="GK4" s="36"/>
      <c r="GL4" s="36"/>
      <c r="GM4" s="36"/>
      <c r="GN4" s="36"/>
      <c r="GO4" s="33"/>
      <c r="GP4" s="36"/>
      <c r="GQ4" s="36"/>
      <c r="GR4" s="36"/>
      <c r="GS4" s="36"/>
      <c r="GT4" s="36"/>
      <c r="GU4" s="36"/>
      <c r="GV4" s="36"/>
      <c r="GW4" s="36"/>
      <c r="GX4" s="36"/>
      <c r="GY4" s="36"/>
      <c r="GZ4" s="36"/>
      <c r="HA4" s="36"/>
      <c r="HB4" s="36"/>
      <c r="HC4" s="36"/>
      <c r="HD4" s="36"/>
      <c r="HE4" s="36"/>
      <c r="HF4" s="36"/>
      <c r="HG4" s="36"/>
      <c r="HH4" s="33"/>
      <c r="HI4" s="36"/>
      <c r="HJ4" s="36"/>
      <c r="HK4" s="36"/>
      <c r="HL4" s="36"/>
      <c r="HM4" s="36"/>
      <c r="HN4" s="36"/>
      <c r="HO4" s="36"/>
      <c r="HP4" s="36"/>
      <c r="HQ4" s="36"/>
      <c r="HR4" s="36"/>
      <c r="HS4" s="36"/>
      <c r="HT4" s="36"/>
      <c r="HU4" s="36"/>
      <c r="HV4" s="36"/>
      <c r="HW4" s="36"/>
      <c r="HX4" s="36"/>
      <c r="HY4" s="36"/>
      <c r="HZ4" s="36"/>
      <c r="IA4" s="33"/>
      <c r="IB4" s="37">
        <f>ROUND(IC4/100*PK4,0)</f>
        <v>4170</v>
      </c>
      <c r="IC4" s="38">
        <v>11.8</v>
      </c>
      <c r="ID4" s="36">
        <v>10.6</v>
      </c>
      <c r="IE4" s="33">
        <v>13.2</v>
      </c>
      <c r="IF4" s="37">
        <f t="shared" ref="IF4:IF16" si="0">ROUND(IG4/100*PK4,0)</f>
        <v>5301</v>
      </c>
      <c r="IG4" s="38">
        <v>15</v>
      </c>
      <c r="IH4" s="36">
        <v>13.4</v>
      </c>
      <c r="II4" s="33">
        <v>16.7</v>
      </c>
      <c r="IJ4" s="37">
        <f t="shared" ref="IJ4:IJ16" si="1">ROUND(IK4/100*PK4,0)</f>
        <v>2615</v>
      </c>
      <c r="IK4" s="38">
        <v>7.4</v>
      </c>
      <c r="IL4" s="36">
        <v>6.8</v>
      </c>
      <c r="IM4" s="33">
        <v>8.1</v>
      </c>
      <c r="IN4" s="37">
        <v>10</v>
      </c>
      <c r="IO4" s="33">
        <v>32.4</v>
      </c>
      <c r="IP4" s="37">
        <v>4090</v>
      </c>
      <c r="IQ4" s="33">
        <v>11.4</v>
      </c>
      <c r="IR4" s="37">
        <v>1033.9918422000001</v>
      </c>
      <c r="IS4" s="33">
        <v>2.7851632114</v>
      </c>
      <c r="IT4" s="37">
        <v>35</v>
      </c>
      <c r="IU4" s="36">
        <v>32.882683978999999</v>
      </c>
      <c r="IV4" s="36">
        <v>22.903994215000001</v>
      </c>
      <c r="IW4" s="36">
        <v>45.731853332999997</v>
      </c>
      <c r="IX4" s="36"/>
      <c r="IY4" s="36"/>
      <c r="IZ4" s="36"/>
      <c r="JA4" s="36"/>
      <c r="JB4" s="36"/>
      <c r="JC4" s="36"/>
      <c r="JD4" s="36"/>
      <c r="JE4" s="36"/>
      <c r="JF4" s="36"/>
      <c r="JG4" s="36"/>
      <c r="JH4" s="36"/>
      <c r="JI4" s="36"/>
      <c r="JJ4" s="36"/>
      <c r="JK4" s="36"/>
      <c r="JL4" s="33"/>
      <c r="JM4" s="36">
        <v>25</v>
      </c>
      <c r="JN4" s="36">
        <v>9.9607149403000008</v>
      </c>
      <c r="JO4" s="36">
        <v>6.4460495197999998</v>
      </c>
      <c r="JP4" s="36">
        <v>14.703980181</v>
      </c>
      <c r="JQ4" s="36"/>
      <c r="JR4" s="36"/>
      <c r="JS4" s="36"/>
      <c r="JT4" s="36"/>
      <c r="JU4" s="36"/>
      <c r="JV4" s="36"/>
      <c r="JW4" s="36"/>
      <c r="JX4" s="36"/>
      <c r="JY4" s="36"/>
      <c r="JZ4" s="36"/>
      <c r="KA4" s="36"/>
      <c r="KB4" s="36"/>
      <c r="KC4" s="36"/>
      <c r="KD4" s="36"/>
      <c r="KE4" s="33"/>
      <c r="KF4" s="37">
        <f t="shared" ref="KF4:KF16" si="2">ROUND(KG4/100*PK4,0)</f>
        <v>12135</v>
      </c>
      <c r="KG4" s="38">
        <v>34.338571641999998</v>
      </c>
      <c r="KH4" s="36">
        <v>32.554714709000002</v>
      </c>
      <c r="KI4" s="33">
        <v>36.034099411</v>
      </c>
      <c r="KJ4" s="37">
        <v>1470</v>
      </c>
      <c r="KK4" s="36">
        <v>7.4839629366000002</v>
      </c>
      <c r="KL4" s="36">
        <v>6.2924735748999998</v>
      </c>
      <c r="KM4" s="33">
        <v>8.6754522982999998</v>
      </c>
      <c r="KN4" s="37">
        <v>143</v>
      </c>
      <c r="KO4" s="36">
        <v>2.1026319659000001</v>
      </c>
      <c r="KP4" s="36">
        <v>1.3877383488999999</v>
      </c>
      <c r="KQ4" s="33">
        <v>2.8175255829000001</v>
      </c>
      <c r="KR4" s="36">
        <v>135.83112</v>
      </c>
      <c r="KS4" s="39" t="s">
        <v>508</v>
      </c>
      <c r="KT4" s="36">
        <v>286</v>
      </c>
      <c r="KU4" s="33">
        <v>81.048951048999996</v>
      </c>
      <c r="KV4" s="36">
        <v>10.303752233000001</v>
      </c>
      <c r="KW4" s="36">
        <v>3.6577856304999998</v>
      </c>
      <c r="KX4" s="33">
        <v>16.949718835999999</v>
      </c>
      <c r="KY4" s="34"/>
      <c r="KZ4" s="34"/>
      <c r="LA4" s="34"/>
      <c r="LB4" s="34"/>
      <c r="LC4" s="35"/>
      <c r="LD4" s="34"/>
      <c r="LE4" s="34"/>
      <c r="LF4" s="34"/>
      <c r="LG4" s="34"/>
      <c r="LH4" s="35"/>
      <c r="LI4" s="40">
        <v>3.7918837599999998E-2</v>
      </c>
      <c r="LJ4" s="36"/>
      <c r="LK4" s="33"/>
      <c r="LL4" s="36">
        <v>42438</v>
      </c>
      <c r="LM4" s="36">
        <v>47341</v>
      </c>
      <c r="LN4" s="41">
        <v>0.89643226799999998</v>
      </c>
      <c r="LO4" s="41">
        <v>0.80524383060000004</v>
      </c>
      <c r="LP4" s="40">
        <v>0.98762070540000002</v>
      </c>
      <c r="LQ4" s="36">
        <v>65528</v>
      </c>
      <c r="LR4" s="36">
        <v>57794.042552999999</v>
      </c>
      <c r="LS4" s="36">
        <v>73261.957446999993</v>
      </c>
      <c r="LT4" s="36">
        <v>15811</v>
      </c>
      <c r="LU4" s="36">
        <v>14426.489362</v>
      </c>
      <c r="LV4" s="36">
        <v>17195.510638</v>
      </c>
      <c r="LW4" s="36">
        <v>55363</v>
      </c>
      <c r="LX4" s="36">
        <v>16507.340425999999</v>
      </c>
      <c r="LY4" s="36">
        <v>94218.659574000005</v>
      </c>
      <c r="LZ4" s="36">
        <v>28652</v>
      </c>
      <c r="MA4" s="36">
        <v>27863.234043</v>
      </c>
      <c r="MB4" s="36">
        <v>29440.765957</v>
      </c>
      <c r="MC4" s="36">
        <v>46338</v>
      </c>
      <c r="MD4" s="36">
        <v>34079.957447000001</v>
      </c>
      <c r="ME4" s="36">
        <v>58596.042552999999</v>
      </c>
      <c r="MF4" s="36">
        <v>60363</v>
      </c>
      <c r="MG4" s="36">
        <v>55885.382979000002</v>
      </c>
      <c r="MH4" s="33">
        <v>64840.617020999998</v>
      </c>
      <c r="MI4" s="42">
        <v>48.854961832000001</v>
      </c>
      <c r="MJ4" s="33">
        <v>73.004546413</v>
      </c>
      <c r="MK4" s="33">
        <v>26.017546679999999</v>
      </c>
      <c r="ML4" s="42">
        <v>26.677145648</v>
      </c>
      <c r="MM4" s="36">
        <v>38</v>
      </c>
      <c r="MN4" s="33">
        <v>22.525192650000001</v>
      </c>
      <c r="MO4" s="36"/>
      <c r="MP4" s="36"/>
      <c r="MQ4" s="36"/>
      <c r="MR4" s="36"/>
      <c r="MS4" s="36"/>
      <c r="MT4" s="36"/>
      <c r="MU4" s="36"/>
      <c r="MV4" s="36"/>
      <c r="MW4" s="36"/>
      <c r="MX4" s="36"/>
      <c r="MY4" s="36"/>
      <c r="MZ4" s="36"/>
      <c r="NA4" s="36"/>
      <c r="NB4" s="36"/>
      <c r="NC4" s="36"/>
      <c r="ND4" s="36"/>
      <c r="NE4" s="36"/>
      <c r="NF4" s="33"/>
      <c r="NG4" s="37">
        <v>37</v>
      </c>
      <c r="NH4" s="36">
        <v>19.443608893</v>
      </c>
      <c r="NI4" s="36">
        <v>13.210988901</v>
      </c>
      <c r="NJ4" s="36">
        <v>27.598650786</v>
      </c>
      <c r="NK4" s="36">
        <v>20.760391418000001</v>
      </c>
      <c r="NL4" s="36"/>
      <c r="NM4" s="36"/>
      <c r="NN4" s="36"/>
      <c r="NO4" s="36"/>
      <c r="NP4" s="36"/>
      <c r="NQ4" s="36"/>
      <c r="NR4" s="36"/>
      <c r="NS4" s="36"/>
      <c r="NT4" s="36"/>
      <c r="NU4" s="36"/>
      <c r="NV4" s="36"/>
      <c r="NW4" s="36"/>
      <c r="NX4" s="36"/>
      <c r="NY4" s="36"/>
      <c r="NZ4" s="33"/>
      <c r="OA4" s="37">
        <v>25</v>
      </c>
      <c r="OB4" s="36">
        <v>14.027291498</v>
      </c>
      <c r="OC4" s="36">
        <v>9.0777234535000009</v>
      </c>
      <c r="OD4" s="36">
        <v>20.707049386000001</v>
      </c>
      <c r="OE4" s="36"/>
      <c r="OF4" s="36"/>
      <c r="OG4" s="36"/>
      <c r="OH4" s="36"/>
      <c r="OI4" s="36"/>
      <c r="OJ4" s="36"/>
      <c r="OK4" s="36"/>
      <c r="OL4" s="36"/>
      <c r="OM4" s="36"/>
      <c r="ON4" s="36"/>
      <c r="OO4" s="36"/>
      <c r="OP4" s="36"/>
      <c r="OQ4" s="36"/>
      <c r="OR4" s="36"/>
      <c r="OS4" s="33"/>
      <c r="OT4" s="43"/>
      <c r="OU4" s="44">
        <v>90</v>
      </c>
      <c r="OV4" s="36">
        <v>3200</v>
      </c>
      <c r="OW4" s="36">
        <v>28.125</v>
      </c>
      <c r="OX4" s="33">
        <v>118.18433179</v>
      </c>
      <c r="OY4" s="36">
        <v>10699</v>
      </c>
      <c r="OZ4" s="36">
        <v>73.356187864000006</v>
      </c>
      <c r="PA4" s="36">
        <v>70.283384402999999</v>
      </c>
      <c r="PB4" s="33">
        <v>76.428991326000002</v>
      </c>
      <c r="PC4" s="37">
        <v>1932</v>
      </c>
      <c r="PD4" s="36">
        <v>13.703099511</v>
      </c>
      <c r="PE4" s="36">
        <v>10.959449905</v>
      </c>
      <c r="PF4" s="33">
        <v>16.446749115999999</v>
      </c>
      <c r="PG4" s="45">
        <v>81.810078848000003</v>
      </c>
      <c r="PH4" s="36">
        <v>11932</v>
      </c>
      <c r="PI4" s="36">
        <v>79.161619938000001</v>
      </c>
      <c r="PJ4" s="33">
        <v>84.458537758999995</v>
      </c>
      <c r="PK4" s="33">
        <v>35338</v>
      </c>
      <c r="PL4" s="33">
        <f t="shared" ref="PL4:PL16" si="3">ROUND(PM4/100*PK4,0)</f>
        <v>6574</v>
      </c>
      <c r="PM4" s="35">
        <v>18.603203351000001</v>
      </c>
      <c r="PN4" s="33">
        <f t="shared" ref="PN4:PN16" si="4">ROUND(PO4/100*PK4,0)</f>
        <v>8437</v>
      </c>
      <c r="PO4" s="35">
        <v>23.875148565</v>
      </c>
      <c r="PP4" s="36">
        <v>453</v>
      </c>
      <c r="PQ4" s="35">
        <v>1.2819061633</v>
      </c>
      <c r="PR4" s="36">
        <v>126</v>
      </c>
      <c r="PS4" s="35">
        <v>0.3565566812</v>
      </c>
      <c r="PT4" s="36">
        <v>462</v>
      </c>
      <c r="PU4" s="35">
        <v>1.3073744976999999</v>
      </c>
      <c r="PV4" s="36">
        <v>20</v>
      </c>
      <c r="PW4" s="35">
        <v>5.6596298599999997E-2</v>
      </c>
      <c r="PX4" s="36">
        <v>818</v>
      </c>
      <c r="PY4" s="35">
        <v>2.3147886128000001</v>
      </c>
      <c r="PZ4" s="36">
        <v>33003</v>
      </c>
      <c r="QA4" s="35">
        <v>93.392382138000002</v>
      </c>
      <c r="QB4" s="36">
        <v>19</v>
      </c>
      <c r="QC4" s="36">
        <v>5.5944879599999997E-2</v>
      </c>
      <c r="QD4" s="36">
        <v>0</v>
      </c>
      <c r="QE4" s="33">
        <v>0.32986207229999998</v>
      </c>
      <c r="QF4" s="35">
        <v>51.287565792999999</v>
      </c>
      <c r="QG4" s="38">
        <v>23950</v>
      </c>
      <c r="QH4" s="35">
        <v>64.511784512000006</v>
      </c>
    </row>
    <row r="5" spans="1:450" x14ac:dyDescent="0.25">
      <c r="A5">
        <v>50</v>
      </c>
      <c r="B5" t="s">
        <v>501</v>
      </c>
      <c r="C5" t="s">
        <v>502</v>
      </c>
      <c r="D5">
        <v>50005</v>
      </c>
      <c r="E5" t="s">
        <v>509</v>
      </c>
      <c r="F5">
        <v>50005</v>
      </c>
      <c r="G5" t="s">
        <v>510</v>
      </c>
      <c r="H5">
        <v>648.75684731352203</v>
      </c>
      <c r="I5">
        <v>30027</v>
      </c>
      <c r="J5">
        <v>0</v>
      </c>
      <c r="K5">
        <v>16452</v>
      </c>
      <c r="L5">
        <v>110</v>
      </c>
      <c r="M5">
        <v>12618</v>
      </c>
      <c r="N5">
        <v>266</v>
      </c>
      <c r="O5" s="8">
        <v>6137</v>
      </c>
      <c r="P5">
        <v>562</v>
      </c>
      <c r="Q5" s="9">
        <v>480</v>
      </c>
      <c r="R5">
        <v>127</v>
      </c>
      <c r="S5" s="10">
        <v>3729</v>
      </c>
      <c r="T5">
        <v>326</v>
      </c>
      <c r="U5" s="11">
        <v>1548</v>
      </c>
      <c r="V5">
        <v>216</v>
      </c>
      <c r="W5" s="12">
        <v>1270</v>
      </c>
      <c r="X5">
        <v>258</v>
      </c>
      <c r="Y5" s="13">
        <v>6265</v>
      </c>
      <c r="Z5">
        <v>67</v>
      </c>
      <c r="AA5" s="14">
        <v>5791</v>
      </c>
      <c r="AB5">
        <v>26</v>
      </c>
      <c r="AC5" s="8">
        <v>5024</v>
      </c>
      <c r="AD5">
        <v>407</v>
      </c>
      <c r="AE5" s="9">
        <v>681</v>
      </c>
      <c r="AF5">
        <v>173</v>
      </c>
      <c r="AG5" s="10">
        <v>90</v>
      </c>
      <c r="AH5">
        <v>81</v>
      </c>
      <c r="AI5" s="11">
        <v>1759</v>
      </c>
      <c r="AJ5">
        <v>189</v>
      </c>
      <c r="AK5" s="12">
        <v>497</v>
      </c>
      <c r="AL5">
        <v>131</v>
      </c>
      <c r="AM5" s="13">
        <v>1444</v>
      </c>
      <c r="AN5">
        <v>217</v>
      </c>
      <c r="AO5" s="14">
        <v>211</v>
      </c>
      <c r="AP5">
        <v>80</v>
      </c>
      <c r="AQ5" s="8">
        <v>1084</v>
      </c>
      <c r="AR5">
        <v>193</v>
      </c>
      <c r="AS5" s="9">
        <v>1114</v>
      </c>
      <c r="AT5">
        <v>253</v>
      </c>
      <c r="AU5">
        <v>21.1</v>
      </c>
      <c r="AV5">
        <v>1.9</v>
      </c>
      <c r="AW5">
        <v>3.1</v>
      </c>
      <c r="AX5">
        <v>0.8</v>
      </c>
      <c r="AY5">
        <v>29.6</v>
      </c>
      <c r="AZ5">
        <v>2.5</v>
      </c>
      <c r="BA5">
        <v>7.2</v>
      </c>
      <c r="BB5">
        <v>1</v>
      </c>
      <c r="BC5">
        <v>4.3</v>
      </c>
      <c r="BD5">
        <v>0.9</v>
      </c>
      <c r="BE5">
        <v>20.9</v>
      </c>
      <c r="BF5">
        <v>0.2</v>
      </c>
      <c r="BG5">
        <v>19.3</v>
      </c>
      <c r="BH5">
        <v>0.1</v>
      </c>
      <c r="BI5">
        <v>16.899999999999999</v>
      </c>
      <c r="BJ5">
        <v>1.3</v>
      </c>
      <c r="BK5">
        <v>5.4</v>
      </c>
      <c r="BL5">
        <v>1.4</v>
      </c>
      <c r="BM5">
        <v>0.3</v>
      </c>
      <c r="BN5">
        <v>0.3</v>
      </c>
      <c r="BO5">
        <v>5.9</v>
      </c>
      <c r="BP5">
        <v>0.6</v>
      </c>
      <c r="BQ5">
        <v>3</v>
      </c>
      <c r="BR5">
        <v>0.8</v>
      </c>
      <c r="BS5">
        <v>8.8000000000000007</v>
      </c>
      <c r="BT5">
        <v>1.3</v>
      </c>
      <c r="BU5">
        <v>1.7</v>
      </c>
      <c r="BV5">
        <v>0.6</v>
      </c>
      <c r="BW5">
        <v>8.6</v>
      </c>
      <c r="BX5">
        <v>1.5</v>
      </c>
      <c r="BY5">
        <v>3.7</v>
      </c>
      <c r="BZ5">
        <v>0.8</v>
      </c>
      <c r="CA5">
        <v>0.76919999999999999</v>
      </c>
      <c r="CB5">
        <v>0</v>
      </c>
      <c r="CC5">
        <v>0.3846</v>
      </c>
      <c r="CD5">
        <v>0.53849999999999998</v>
      </c>
      <c r="CE5">
        <v>0.3846</v>
      </c>
      <c r="CF5">
        <v>2.0769000000000002</v>
      </c>
      <c r="CG5">
        <v>0.23080000000000001</v>
      </c>
      <c r="CH5">
        <v>0.46150000000000002</v>
      </c>
      <c r="CI5">
        <v>0.76919999999999999</v>
      </c>
      <c r="CJ5">
        <v>0.76919999999999999</v>
      </c>
      <c r="CK5">
        <v>0.69230000000000003</v>
      </c>
      <c r="CL5">
        <v>0.53849999999999998</v>
      </c>
      <c r="CM5">
        <v>3.2307000000000001</v>
      </c>
      <c r="CN5">
        <v>0.92310000000000003</v>
      </c>
      <c r="CO5">
        <v>0.46150000000000002</v>
      </c>
      <c r="CP5">
        <v>0.46150000000000002</v>
      </c>
      <c r="CQ5">
        <v>0.46150000000000002</v>
      </c>
      <c r="CR5">
        <v>0.46150000000000002</v>
      </c>
      <c r="CS5">
        <v>0.69230000000000003</v>
      </c>
      <c r="CT5">
        <v>0.69230000000000003</v>
      </c>
      <c r="CU5">
        <v>0.92310000000000003</v>
      </c>
      <c r="CV5">
        <v>0.53849999999999998</v>
      </c>
      <c r="CW5">
        <v>3.3077000000000001</v>
      </c>
      <c r="CX5">
        <v>0.92310000000000003</v>
      </c>
      <c r="CY5">
        <v>9.0768000000000004</v>
      </c>
      <c r="CZ5">
        <v>0.84619999999999995</v>
      </c>
      <c r="DA5">
        <v>0</v>
      </c>
      <c r="DB5">
        <v>0</v>
      </c>
      <c r="DC5">
        <v>0</v>
      </c>
      <c r="DD5">
        <v>0</v>
      </c>
      <c r="DE5">
        <v>0</v>
      </c>
      <c r="DF5">
        <v>0</v>
      </c>
      <c r="DG5">
        <v>0</v>
      </c>
      <c r="DH5">
        <v>0</v>
      </c>
      <c r="DI5">
        <v>0</v>
      </c>
      <c r="DJ5">
        <v>0</v>
      </c>
      <c r="DK5">
        <v>0</v>
      </c>
      <c r="DL5">
        <v>0</v>
      </c>
      <c r="DM5">
        <v>0</v>
      </c>
      <c r="DN5">
        <v>0</v>
      </c>
      <c r="DO5">
        <v>0</v>
      </c>
      <c r="DP5">
        <v>0</v>
      </c>
      <c r="DQ5">
        <v>0</v>
      </c>
      <c r="DR5">
        <v>1</v>
      </c>
      <c r="DS5">
        <v>0</v>
      </c>
      <c r="DT5">
        <v>1</v>
      </c>
      <c r="DU5">
        <v>1</v>
      </c>
      <c r="DV5">
        <v>25077</v>
      </c>
      <c r="DW5">
        <v>4426</v>
      </c>
      <c r="DX5">
        <v>606</v>
      </c>
      <c r="DY5" s="8">
        <v>182</v>
      </c>
      <c r="DZ5">
        <v>42</v>
      </c>
      <c r="EA5" s="9">
        <v>517</v>
      </c>
      <c r="EB5">
        <v>0</v>
      </c>
      <c r="EC5" s="10">
        <v>104</v>
      </c>
      <c r="ED5">
        <v>51</v>
      </c>
      <c r="EE5" s="11">
        <v>50</v>
      </c>
      <c r="EF5">
        <v>31</v>
      </c>
      <c r="EG5" s="12">
        <v>0</v>
      </c>
      <c r="EH5">
        <v>21</v>
      </c>
      <c r="EI5" s="13">
        <v>755</v>
      </c>
      <c r="EJ5">
        <v>93</v>
      </c>
      <c r="EK5" s="14">
        <v>151</v>
      </c>
      <c r="EL5">
        <v>151</v>
      </c>
      <c r="EM5">
        <v>15.3</v>
      </c>
      <c r="EN5">
        <v>0.1</v>
      </c>
      <c r="EO5">
        <v>0.6</v>
      </c>
      <c r="EP5">
        <v>0.1</v>
      </c>
      <c r="EQ5">
        <v>1.7</v>
      </c>
      <c r="ER5">
        <v>0</v>
      </c>
      <c r="ES5">
        <v>0.3</v>
      </c>
      <c r="ET5">
        <v>0.2</v>
      </c>
      <c r="EU5">
        <v>0.2</v>
      </c>
      <c r="EV5">
        <v>0.1</v>
      </c>
      <c r="EW5">
        <v>0</v>
      </c>
      <c r="EX5">
        <v>0.1</v>
      </c>
      <c r="EY5">
        <v>2.5</v>
      </c>
      <c r="EZ5">
        <v>0.3</v>
      </c>
      <c r="FA5">
        <v>0.5</v>
      </c>
      <c r="FB5">
        <v>0.5</v>
      </c>
      <c r="FC5" s="32"/>
      <c r="FD5" s="33"/>
      <c r="FE5" s="34">
        <v>78.403965866999997</v>
      </c>
      <c r="FF5" s="34">
        <v>77.359855343999996</v>
      </c>
      <c r="FG5" s="34">
        <v>79.448076389999997</v>
      </c>
      <c r="FH5" s="34"/>
      <c r="FI5" s="34"/>
      <c r="FJ5" s="34"/>
      <c r="FK5" s="34"/>
      <c r="FL5" s="34"/>
      <c r="FM5" s="34"/>
      <c r="FN5" s="34"/>
      <c r="FO5" s="34"/>
      <c r="FP5" s="34"/>
      <c r="FQ5" s="34"/>
      <c r="FR5" s="34"/>
      <c r="FS5" s="34"/>
      <c r="FT5" s="34"/>
      <c r="FU5" s="34"/>
      <c r="FV5" s="35"/>
      <c r="FW5" s="36">
        <v>431</v>
      </c>
      <c r="FX5" s="36">
        <v>357.00678304000002</v>
      </c>
      <c r="FY5" s="36">
        <v>319.97672030000001</v>
      </c>
      <c r="FZ5" s="36">
        <v>394.03684578000002</v>
      </c>
      <c r="GA5" s="36"/>
      <c r="GB5" s="36"/>
      <c r="GC5" s="36"/>
      <c r="GD5" s="36"/>
      <c r="GE5" s="36"/>
      <c r="GF5" s="36"/>
      <c r="GG5" s="36"/>
      <c r="GH5" s="36"/>
      <c r="GI5" s="36"/>
      <c r="GJ5" s="36"/>
      <c r="GK5" s="36"/>
      <c r="GL5" s="36"/>
      <c r="GM5" s="36"/>
      <c r="GN5" s="36"/>
      <c r="GO5" s="33"/>
      <c r="GP5" s="36"/>
      <c r="GQ5" s="36"/>
      <c r="GR5" s="36"/>
      <c r="GS5" s="36"/>
      <c r="GT5" s="36"/>
      <c r="GU5" s="36"/>
      <c r="GV5" s="36"/>
      <c r="GW5" s="36"/>
      <c r="GX5" s="36"/>
      <c r="GY5" s="36"/>
      <c r="GZ5" s="36"/>
      <c r="HA5" s="36"/>
      <c r="HB5" s="36"/>
      <c r="HC5" s="36"/>
      <c r="HD5" s="36"/>
      <c r="HE5" s="36"/>
      <c r="HF5" s="36"/>
      <c r="HG5" s="36"/>
      <c r="HH5" s="33"/>
      <c r="HI5" s="36"/>
      <c r="HJ5" s="36"/>
      <c r="HK5" s="36"/>
      <c r="HL5" s="36"/>
      <c r="HM5" s="36"/>
      <c r="HN5" s="36"/>
      <c r="HO5" s="36"/>
      <c r="HP5" s="36"/>
      <c r="HQ5" s="36"/>
      <c r="HR5" s="36"/>
      <c r="HS5" s="36"/>
      <c r="HT5" s="36"/>
      <c r="HU5" s="36"/>
      <c r="HV5" s="36"/>
      <c r="HW5" s="36"/>
      <c r="HX5" s="36"/>
      <c r="HY5" s="36"/>
      <c r="HZ5" s="36"/>
      <c r="IA5" s="33"/>
      <c r="IB5" s="37">
        <f t="shared" ref="IB5:IB16" si="5">ROUND(IC5/100*PK5,0)</f>
        <v>3683</v>
      </c>
      <c r="IC5" s="38">
        <v>12.4</v>
      </c>
      <c r="ID5" s="36">
        <v>11</v>
      </c>
      <c r="IE5" s="33">
        <v>13.9</v>
      </c>
      <c r="IF5" s="37">
        <f t="shared" si="0"/>
        <v>4396</v>
      </c>
      <c r="IG5" s="38">
        <v>14.8</v>
      </c>
      <c r="IH5" s="36">
        <v>13.2</v>
      </c>
      <c r="II5" s="33">
        <v>16.5</v>
      </c>
      <c r="IJ5" s="37">
        <f t="shared" si="1"/>
        <v>2376</v>
      </c>
      <c r="IK5" s="38">
        <v>8</v>
      </c>
      <c r="IL5" s="36">
        <v>7.3</v>
      </c>
      <c r="IM5" s="33">
        <v>8.6999999999999993</v>
      </c>
      <c r="IN5" s="37">
        <v>13</v>
      </c>
      <c r="IO5" s="33">
        <v>49.8</v>
      </c>
      <c r="IP5" s="37">
        <v>3520</v>
      </c>
      <c r="IQ5" s="33">
        <v>11.6</v>
      </c>
      <c r="IR5" s="37">
        <v>521.87594111999999</v>
      </c>
      <c r="IS5" s="33">
        <v>1.6712330391000001</v>
      </c>
      <c r="IT5" s="37">
        <v>30</v>
      </c>
      <c r="IU5" s="36">
        <v>33.333333332999999</v>
      </c>
      <c r="IV5" s="36">
        <v>22.489860023999999</v>
      </c>
      <c r="IW5" s="36">
        <v>47.585405993999998</v>
      </c>
      <c r="IX5" s="36"/>
      <c r="IY5" s="36"/>
      <c r="IZ5" s="36"/>
      <c r="JA5" s="36"/>
      <c r="JB5" s="36"/>
      <c r="JC5" s="36"/>
      <c r="JD5" s="36"/>
      <c r="JE5" s="36"/>
      <c r="JF5" s="36"/>
      <c r="JG5" s="36"/>
      <c r="JH5" s="36"/>
      <c r="JI5" s="36"/>
      <c r="JJ5" s="36"/>
      <c r="JK5" s="36"/>
      <c r="JL5" s="33"/>
      <c r="JM5" s="36">
        <v>21</v>
      </c>
      <c r="JN5" s="36">
        <v>9.8936200285000009</v>
      </c>
      <c r="JO5" s="36">
        <v>6.1243067324</v>
      </c>
      <c r="JP5" s="36">
        <v>15.123449168</v>
      </c>
      <c r="JQ5" s="36"/>
      <c r="JR5" s="36"/>
      <c r="JS5" s="36"/>
      <c r="JT5" s="36"/>
      <c r="JU5" s="36"/>
      <c r="JV5" s="36"/>
      <c r="JW5" s="36"/>
      <c r="JX5" s="36"/>
      <c r="JY5" s="36"/>
      <c r="JZ5" s="36"/>
      <c r="KA5" s="36"/>
      <c r="KB5" s="36"/>
      <c r="KC5" s="36"/>
      <c r="KD5" s="36"/>
      <c r="KE5" s="33"/>
      <c r="KF5" s="37">
        <f t="shared" si="2"/>
        <v>9262</v>
      </c>
      <c r="KG5" s="38">
        <v>31.180692841999999</v>
      </c>
      <c r="KH5" s="36">
        <v>29.533852999</v>
      </c>
      <c r="KI5" s="33">
        <v>32.818876076999999</v>
      </c>
      <c r="KJ5" s="37">
        <v>1223</v>
      </c>
      <c r="KK5" s="36">
        <v>7.244402322</v>
      </c>
      <c r="KL5" s="36">
        <v>6.0529129602999996</v>
      </c>
      <c r="KM5" s="33">
        <v>8.4358916836999995</v>
      </c>
      <c r="KN5" s="37">
        <v>108</v>
      </c>
      <c r="KO5" s="36">
        <v>1.8411183089000001</v>
      </c>
      <c r="KP5" s="36">
        <v>1.2453736280000001</v>
      </c>
      <c r="KQ5" s="33">
        <v>2.4368629896999998</v>
      </c>
      <c r="KR5" s="36">
        <v>121.19171999999999</v>
      </c>
      <c r="KS5" s="39" t="s">
        <v>511</v>
      </c>
      <c r="KT5" s="36">
        <v>104</v>
      </c>
      <c r="KU5" s="33">
        <v>89.975961538000007</v>
      </c>
      <c r="KV5" s="36"/>
      <c r="KW5" s="36"/>
      <c r="KX5" s="33"/>
      <c r="KY5" s="34"/>
      <c r="KZ5" s="34"/>
      <c r="LA5" s="34"/>
      <c r="LB5" s="34"/>
      <c r="LC5" s="35"/>
      <c r="LD5" s="34"/>
      <c r="LE5" s="34"/>
      <c r="LF5" s="34"/>
      <c r="LG5" s="34"/>
      <c r="LH5" s="35"/>
      <c r="LI5" s="40">
        <v>7.9119088500000004E-2</v>
      </c>
      <c r="LJ5" s="36"/>
      <c r="LK5" s="33"/>
      <c r="LL5" s="36">
        <v>42494</v>
      </c>
      <c r="LM5" s="36">
        <v>44824</v>
      </c>
      <c r="LN5" s="41">
        <v>0.94801891839999997</v>
      </c>
      <c r="LO5" s="41">
        <v>0.8445558031</v>
      </c>
      <c r="LP5" s="40">
        <v>1.0514820337999999</v>
      </c>
      <c r="LQ5" s="36">
        <v>52203</v>
      </c>
      <c r="LR5" s="36">
        <v>44523.851064000002</v>
      </c>
      <c r="LS5" s="36">
        <v>59882.148935999998</v>
      </c>
      <c r="LT5" s="36"/>
      <c r="LU5" s="36"/>
      <c r="LV5" s="36"/>
      <c r="LW5" s="36"/>
      <c r="LX5" s="36"/>
      <c r="LY5" s="36"/>
      <c r="LZ5" s="36"/>
      <c r="MA5" s="36"/>
      <c r="MB5" s="36"/>
      <c r="MC5" s="36">
        <v>38438</v>
      </c>
      <c r="MD5" s="36">
        <v>21932.297871999999</v>
      </c>
      <c r="ME5" s="36">
        <v>54943.702127999997</v>
      </c>
      <c r="MF5" s="36">
        <v>52965</v>
      </c>
      <c r="MG5" s="36">
        <v>47198.191488999997</v>
      </c>
      <c r="MH5" s="33">
        <v>58731.808511000003</v>
      </c>
      <c r="MI5" s="42">
        <v>49.823207971999999</v>
      </c>
      <c r="MJ5" s="33">
        <v>61.536784930000003</v>
      </c>
      <c r="MK5" s="33">
        <v>25.364883044999999</v>
      </c>
      <c r="ML5" s="42">
        <v>30.592111564</v>
      </c>
      <c r="MM5" s="36">
        <v>31</v>
      </c>
      <c r="MN5" s="33">
        <v>23.082650782000002</v>
      </c>
      <c r="MO5" s="36"/>
      <c r="MP5" s="36"/>
      <c r="MQ5" s="36"/>
      <c r="MR5" s="36"/>
      <c r="MS5" s="36"/>
      <c r="MT5" s="36"/>
      <c r="MU5" s="36"/>
      <c r="MV5" s="36"/>
      <c r="MW5" s="36"/>
      <c r="MX5" s="36"/>
      <c r="MY5" s="36"/>
      <c r="MZ5" s="36"/>
      <c r="NA5" s="36"/>
      <c r="NB5" s="36"/>
      <c r="NC5" s="36"/>
      <c r="ND5" s="36"/>
      <c r="NE5" s="36"/>
      <c r="NF5" s="33"/>
      <c r="NG5" s="37">
        <v>46</v>
      </c>
      <c r="NH5" s="36">
        <v>31.789892938000001</v>
      </c>
      <c r="NI5" s="36">
        <v>22.911358630999999</v>
      </c>
      <c r="NJ5" s="36">
        <v>42.970700121</v>
      </c>
      <c r="NK5" s="36">
        <v>30.565393329999999</v>
      </c>
      <c r="NL5" s="36"/>
      <c r="NM5" s="36"/>
      <c r="NN5" s="36"/>
      <c r="NO5" s="36"/>
      <c r="NP5" s="36"/>
      <c r="NQ5" s="36"/>
      <c r="NR5" s="36"/>
      <c r="NS5" s="36"/>
      <c r="NT5" s="36"/>
      <c r="NU5" s="36"/>
      <c r="NV5" s="36"/>
      <c r="NW5" s="36"/>
      <c r="NX5" s="36"/>
      <c r="NY5" s="36"/>
      <c r="NZ5" s="33"/>
      <c r="OA5" s="37">
        <v>28</v>
      </c>
      <c r="OB5" s="36">
        <v>18.605022027</v>
      </c>
      <c r="OC5" s="36">
        <v>12.362902022</v>
      </c>
      <c r="OD5" s="36">
        <v>26.889436961000001</v>
      </c>
      <c r="OE5" s="36"/>
      <c r="OF5" s="36"/>
      <c r="OG5" s="36"/>
      <c r="OH5" s="36"/>
      <c r="OI5" s="36"/>
      <c r="OJ5" s="36"/>
      <c r="OK5" s="36"/>
      <c r="OL5" s="36"/>
      <c r="OM5" s="36"/>
      <c r="ON5" s="36"/>
      <c r="OO5" s="36"/>
      <c r="OP5" s="36"/>
      <c r="OQ5" s="36"/>
      <c r="OR5" s="36"/>
      <c r="OS5" s="33"/>
      <c r="OT5" s="43"/>
      <c r="OU5" s="44">
        <v>20</v>
      </c>
      <c r="OV5" s="36">
        <v>2800</v>
      </c>
      <c r="OW5" s="36">
        <v>7.1428571428999996</v>
      </c>
      <c r="OX5" s="33">
        <v>76.567510963000004</v>
      </c>
      <c r="OY5" s="36">
        <v>9470</v>
      </c>
      <c r="OZ5" s="36">
        <v>75.051513710999998</v>
      </c>
      <c r="PA5" s="36">
        <v>73.363155618999997</v>
      </c>
      <c r="PB5" s="33">
        <v>76.739871801999996</v>
      </c>
      <c r="PC5" s="37">
        <v>1640</v>
      </c>
      <c r="PD5" s="36">
        <v>13.367022577</v>
      </c>
      <c r="PE5" s="36">
        <v>11.292809555</v>
      </c>
      <c r="PF5" s="33">
        <v>15.441235599000001</v>
      </c>
      <c r="PG5" s="45">
        <v>79.949278808000003</v>
      </c>
      <c r="PH5" s="36">
        <v>10088</v>
      </c>
      <c r="PI5" s="36">
        <v>77.468549049999993</v>
      </c>
      <c r="PJ5" s="33">
        <v>82.430008565999998</v>
      </c>
      <c r="PK5" s="33">
        <v>29705</v>
      </c>
      <c r="PL5" s="33">
        <f t="shared" si="3"/>
        <v>5624</v>
      </c>
      <c r="PM5" s="35">
        <v>18.932839589</v>
      </c>
      <c r="PN5" s="33">
        <f t="shared" si="4"/>
        <v>6655</v>
      </c>
      <c r="PO5" s="35">
        <v>22.403635752</v>
      </c>
      <c r="PP5" s="36">
        <v>227</v>
      </c>
      <c r="PQ5" s="35">
        <v>0.76418111430000002</v>
      </c>
      <c r="PR5" s="36">
        <v>145</v>
      </c>
      <c r="PS5" s="35">
        <v>0.48813331090000001</v>
      </c>
      <c r="PT5" s="36">
        <v>272</v>
      </c>
      <c r="PU5" s="35">
        <v>0.91567076250000001</v>
      </c>
      <c r="PV5" s="36">
        <v>6</v>
      </c>
      <c r="PW5" s="35">
        <v>2.0198619800000001E-2</v>
      </c>
      <c r="PX5" s="36">
        <v>547</v>
      </c>
      <c r="PY5" s="35">
        <v>1.8414408349</v>
      </c>
      <c r="PZ5" s="36">
        <v>28075</v>
      </c>
      <c r="QA5" s="35">
        <v>94.512708298000007</v>
      </c>
      <c r="QB5" s="36">
        <v>90</v>
      </c>
      <c r="QC5" s="36">
        <v>0.3137637707</v>
      </c>
      <c r="QD5" s="36">
        <v>0</v>
      </c>
      <c r="QE5" s="33">
        <v>0.65158132980000005</v>
      </c>
      <c r="QF5" s="35">
        <v>50.045446894000001</v>
      </c>
      <c r="QG5" s="38">
        <v>23230</v>
      </c>
      <c r="QH5" s="35">
        <v>74.390751593000005</v>
      </c>
    </row>
    <row r="6" spans="1:450" x14ac:dyDescent="0.25">
      <c r="A6">
        <v>50</v>
      </c>
      <c r="B6" t="s">
        <v>501</v>
      </c>
      <c r="C6" t="s">
        <v>502</v>
      </c>
      <c r="D6">
        <v>50007</v>
      </c>
      <c r="E6" t="s">
        <v>512</v>
      </c>
      <c r="F6">
        <v>50007</v>
      </c>
      <c r="G6" t="s">
        <v>513</v>
      </c>
      <c r="H6">
        <v>537.28284776341798</v>
      </c>
      <c r="I6">
        <v>163414</v>
      </c>
      <c r="J6">
        <v>0</v>
      </c>
      <c r="K6">
        <v>70460</v>
      </c>
      <c r="L6">
        <v>260</v>
      </c>
      <c r="M6">
        <v>66478</v>
      </c>
      <c r="N6">
        <v>542</v>
      </c>
      <c r="O6" s="8">
        <v>26625</v>
      </c>
      <c r="P6">
        <v>1657</v>
      </c>
      <c r="Q6" s="9">
        <v>3435</v>
      </c>
      <c r="R6">
        <v>471</v>
      </c>
      <c r="S6" s="10">
        <v>20346</v>
      </c>
      <c r="T6">
        <v>1122</v>
      </c>
      <c r="U6" s="11">
        <v>5626</v>
      </c>
      <c r="V6">
        <v>632</v>
      </c>
      <c r="W6" s="12">
        <v>5127</v>
      </c>
      <c r="X6">
        <v>636</v>
      </c>
      <c r="Y6" s="13">
        <v>24654</v>
      </c>
      <c r="Z6">
        <v>138</v>
      </c>
      <c r="AA6" s="14">
        <v>29054</v>
      </c>
      <c r="AB6">
        <v>0</v>
      </c>
      <c r="AC6" s="8">
        <v>18580</v>
      </c>
      <c r="AD6">
        <v>1140</v>
      </c>
      <c r="AE6" s="9">
        <v>2929</v>
      </c>
      <c r="AF6">
        <v>432</v>
      </c>
      <c r="AG6" s="10">
        <v>2555</v>
      </c>
      <c r="AH6">
        <v>518</v>
      </c>
      <c r="AI6" s="11">
        <v>19650</v>
      </c>
      <c r="AJ6">
        <v>1142</v>
      </c>
      <c r="AK6" s="12">
        <v>9195</v>
      </c>
      <c r="AL6">
        <v>624</v>
      </c>
      <c r="AM6" s="13">
        <v>3084</v>
      </c>
      <c r="AN6">
        <v>380</v>
      </c>
      <c r="AO6" s="14">
        <v>813</v>
      </c>
      <c r="AP6">
        <v>217</v>
      </c>
      <c r="AQ6" s="8">
        <v>4802</v>
      </c>
      <c r="AR6">
        <v>527</v>
      </c>
      <c r="AS6" s="9">
        <v>9840</v>
      </c>
      <c r="AT6">
        <v>562</v>
      </c>
      <c r="AU6">
        <v>17.3</v>
      </c>
      <c r="AV6">
        <v>1.1000000000000001</v>
      </c>
      <c r="AW6">
        <v>3.6</v>
      </c>
      <c r="AX6">
        <v>0.5</v>
      </c>
      <c r="AY6">
        <v>30.6</v>
      </c>
      <c r="AZ6">
        <v>1.7</v>
      </c>
      <c r="BA6">
        <v>5.2</v>
      </c>
      <c r="BB6">
        <v>0.6</v>
      </c>
      <c r="BC6">
        <v>3.2</v>
      </c>
      <c r="BD6">
        <v>0.4</v>
      </c>
      <c r="BE6">
        <v>15.1</v>
      </c>
      <c r="BF6">
        <v>0.1</v>
      </c>
      <c r="BG6">
        <v>17.8</v>
      </c>
      <c r="BH6">
        <v>0</v>
      </c>
      <c r="BI6">
        <v>11.5</v>
      </c>
      <c r="BJ6">
        <v>0.7</v>
      </c>
      <c r="BK6">
        <v>4.4000000000000004</v>
      </c>
      <c r="BL6">
        <v>0.6</v>
      </c>
      <c r="BM6">
        <v>1.6</v>
      </c>
      <c r="BN6">
        <v>0.3</v>
      </c>
      <c r="BO6">
        <v>12</v>
      </c>
      <c r="BP6">
        <v>0.7</v>
      </c>
      <c r="BQ6">
        <v>13</v>
      </c>
      <c r="BR6">
        <v>0.9</v>
      </c>
      <c r="BS6">
        <v>4.4000000000000004</v>
      </c>
      <c r="BT6">
        <v>0.5</v>
      </c>
      <c r="BU6">
        <v>1.2</v>
      </c>
      <c r="BV6">
        <v>0.3</v>
      </c>
      <c r="BW6">
        <v>7.2</v>
      </c>
      <c r="BX6">
        <v>0.8</v>
      </c>
      <c r="BY6">
        <v>6</v>
      </c>
      <c r="BZ6">
        <v>0.3</v>
      </c>
      <c r="CA6">
        <v>0.30769999999999997</v>
      </c>
      <c r="CB6">
        <v>0.23080000000000001</v>
      </c>
      <c r="CC6">
        <v>1</v>
      </c>
      <c r="CD6">
        <v>0</v>
      </c>
      <c r="CE6">
        <v>0</v>
      </c>
      <c r="CF6">
        <v>1.5385</v>
      </c>
      <c r="CG6">
        <v>7.6899999999999996E-2</v>
      </c>
      <c r="CH6">
        <v>0</v>
      </c>
      <c r="CI6">
        <v>0.30769999999999997</v>
      </c>
      <c r="CJ6">
        <v>7.6899999999999996E-2</v>
      </c>
      <c r="CK6">
        <v>0.3846</v>
      </c>
      <c r="CL6">
        <v>1</v>
      </c>
      <c r="CM6">
        <v>1.7692000000000001</v>
      </c>
      <c r="CN6">
        <v>0.15379999999999999</v>
      </c>
      <c r="CO6">
        <v>1</v>
      </c>
      <c r="CP6">
        <v>1</v>
      </c>
      <c r="CQ6">
        <v>1</v>
      </c>
      <c r="CR6">
        <v>1</v>
      </c>
      <c r="CS6">
        <v>0</v>
      </c>
      <c r="CT6">
        <v>0.30769999999999997</v>
      </c>
      <c r="CU6">
        <v>0.69230000000000003</v>
      </c>
      <c r="CV6">
        <v>0.92310000000000003</v>
      </c>
      <c r="CW6">
        <v>2.9230999999999998</v>
      </c>
      <c r="CX6">
        <v>0.84619999999999995</v>
      </c>
      <c r="CY6">
        <v>7.2308000000000003</v>
      </c>
      <c r="CZ6">
        <v>0.3846</v>
      </c>
      <c r="DA6">
        <v>0</v>
      </c>
      <c r="DB6">
        <v>0</v>
      </c>
      <c r="DC6">
        <v>1</v>
      </c>
      <c r="DD6">
        <v>0</v>
      </c>
      <c r="DE6">
        <v>0</v>
      </c>
      <c r="DF6">
        <v>1</v>
      </c>
      <c r="DG6">
        <v>0</v>
      </c>
      <c r="DH6">
        <v>0</v>
      </c>
      <c r="DI6">
        <v>0</v>
      </c>
      <c r="DJ6">
        <v>0</v>
      </c>
      <c r="DK6">
        <v>1</v>
      </c>
      <c r="DL6">
        <v>1</v>
      </c>
      <c r="DM6">
        <v>1</v>
      </c>
      <c r="DN6">
        <v>1</v>
      </c>
      <c r="DO6">
        <v>1</v>
      </c>
      <c r="DP6">
        <v>0</v>
      </c>
      <c r="DQ6">
        <v>0</v>
      </c>
      <c r="DR6">
        <v>0</v>
      </c>
      <c r="DS6">
        <v>1</v>
      </c>
      <c r="DT6">
        <v>2</v>
      </c>
      <c r="DU6">
        <v>5</v>
      </c>
      <c r="DV6">
        <v>186233</v>
      </c>
      <c r="DW6">
        <v>15870</v>
      </c>
      <c r="DX6">
        <v>1876</v>
      </c>
      <c r="DY6" s="8">
        <v>4157</v>
      </c>
      <c r="DZ6">
        <v>313</v>
      </c>
      <c r="EA6" s="9">
        <v>3956</v>
      </c>
      <c r="EB6">
        <v>0</v>
      </c>
      <c r="EC6" s="10">
        <v>6160</v>
      </c>
      <c r="ED6">
        <v>673</v>
      </c>
      <c r="EE6" s="11">
        <v>255</v>
      </c>
      <c r="EF6">
        <v>124</v>
      </c>
      <c r="EG6" s="12">
        <v>44</v>
      </c>
      <c r="EH6">
        <v>57</v>
      </c>
      <c r="EI6" s="13">
        <v>4741</v>
      </c>
      <c r="EJ6">
        <v>800</v>
      </c>
      <c r="EK6" s="14">
        <v>337</v>
      </c>
      <c r="EL6">
        <v>337</v>
      </c>
      <c r="EM6">
        <v>10.3</v>
      </c>
      <c r="EN6">
        <v>0</v>
      </c>
      <c r="EO6">
        <v>2.5</v>
      </c>
      <c r="EP6">
        <v>0.2</v>
      </c>
      <c r="EQ6">
        <v>2.4</v>
      </c>
      <c r="ER6">
        <v>0</v>
      </c>
      <c r="ES6">
        <v>3.8</v>
      </c>
      <c r="ET6">
        <v>0.4</v>
      </c>
      <c r="EU6">
        <v>0.2</v>
      </c>
      <c r="EV6">
        <v>0.1</v>
      </c>
      <c r="EW6">
        <v>0</v>
      </c>
      <c r="EX6">
        <v>0.1</v>
      </c>
      <c r="EY6">
        <v>2.9</v>
      </c>
      <c r="EZ6">
        <v>0.5</v>
      </c>
      <c r="FA6">
        <v>0.2</v>
      </c>
      <c r="FB6">
        <v>0.1</v>
      </c>
      <c r="FC6" s="32">
        <v>62</v>
      </c>
      <c r="FD6" s="33">
        <v>30.545267003999999</v>
      </c>
      <c r="FE6" s="34">
        <v>81.721401327999999</v>
      </c>
      <c r="FF6" s="34">
        <v>81.279129404000003</v>
      </c>
      <c r="FG6" s="34">
        <v>82.163673251000006</v>
      </c>
      <c r="FH6" s="34"/>
      <c r="FI6" s="34"/>
      <c r="FJ6" s="34"/>
      <c r="FK6" s="34">
        <v>85.532515568999997</v>
      </c>
      <c r="FL6" s="34">
        <v>81.514476118999994</v>
      </c>
      <c r="FM6" s="34">
        <v>89.550555019000001</v>
      </c>
      <c r="FN6" s="34">
        <v>77.448706143999999</v>
      </c>
      <c r="FO6" s="34">
        <v>71.761965809000003</v>
      </c>
      <c r="FP6" s="34">
        <v>83.135446479999999</v>
      </c>
      <c r="FQ6" s="34">
        <v>90.827089866999998</v>
      </c>
      <c r="FR6" s="34">
        <v>75.483728662000004</v>
      </c>
      <c r="FS6" s="34">
        <v>106.17045107</v>
      </c>
      <c r="FT6" s="34">
        <v>81.750002189</v>
      </c>
      <c r="FU6" s="34">
        <v>81.298645344999997</v>
      </c>
      <c r="FV6" s="35">
        <v>82.201359033000003</v>
      </c>
      <c r="FW6" s="36">
        <v>1365</v>
      </c>
      <c r="FX6" s="36">
        <v>244.81422305000001</v>
      </c>
      <c r="FY6" s="36">
        <v>231.33455261</v>
      </c>
      <c r="FZ6" s="36">
        <v>258.29389350000002</v>
      </c>
      <c r="GA6" s="36"/>
      <c r="GB6" s="36"/>
      <c r="GC6" s="36"/>
      <c r="GD6" s="36">
        <v>173.74813416000001</v>
      </c>
      <c r="GE6" s="36">
        <v>118.05342745999999</v>
      </c>
      <c r="GF6" s="36">
        <v>246.62160743999999</v>
      </c>
      <c r="GG6" s="36">
        <v>455.45700219999998</v>
      </c>
      <c r="GH6" s="36">
        <v>305.0267025</v>
      </c>
      <c r="GI6" s="36">
        <v>654.11222913999995</v>
      </c>
      <c r="GJ6" s="36"/>
      <c r="GK6" s="36"/>
      <c r="GL6" s="36"/>
      <c r="GM6" s="36">
        <v>242.54403066</v>
      </c>
      <c r="GN6" s="36">
        <v>228.57911186000001</v>
      </c>
      <c r="GO6" s="33">
        <v>256.50894946</v>
      </c>
      <c r="GP6" s="36">
        <v>44</v>
      </c>
      <c r="GQ6" s="36">
        <v>38.081719909</v>
      </c>
      <c r="GR6" s="36">
        <v>27.670235984000001</v>
      </c>
      <c r="GS6" s="36">
        <v>51.122931496</v>
      </c>
      <c r="GT6" s="36"/>
      <c r="GU6" s="36"/>
      <c r="GV6" s="36"/>
      <c r="GW6" s="36"/>
      <c r="GX6" s="36"/>
      <c r="GY6" s="36"/>
      <c r="GZ6" s="36"/>
      <c r="HA6" s="36"/>
      <c r="HB6" s="36"/>
      <c r="HC6" s="36"/>
      <c r="HD6" s="36"/>
      <c r="HE6" s="36"/>
      <c r="HF6" s="36"/>
      <c r="HG6" s="36"/>
      <c r="HH6" s="33"/>
      <c r="HI6" s="36">
        <v>46</v>
      </c>
      <c r="HJ6" s="36">
        <v>4.2201834861999998</v>
      </c>
      <c r="HK6" s="36">
        <v>3.0897047164</v>
      </c>
      <c r="HL6" s="36">
        <v>5.6291333678999997</v>
      </c>
      <c r="HM6" s="36"/>
      <c r="HN6" s="36"/>
      <c r="HO6" s="36"/>
      <c r="HP6" s="36"/>
      <c r="HQ6" s="36"/>
      <c r="HR6" s="36"/>
      <c r="HS6" s="36"/>
      <c r="HT6" s="36"/>
      <c r="HU6" s="36"/>
      <c r="HV6" s="36"/>
      <c r="HW6" s="36"/>
      <c r="HX6" s="36"/>
      <c r="HY6" s="36"/>
      <c r="HZ6" s="36"/>
      <c r="IA6" s="33"/>
      <c r="IB6" s="37">
        <f t="shared" si="5"/>
        <v>16924</v>
      </c>
      <c r="IC6" s="38">
        <v>10.3</v>
      </c>
      <c r="ID6" s="36">
        <v>9.1</v>
      </c>
      <c r="IE6" s="33">
        <v>11.5</v>
      </c>
      <c r="IF6" s="37">
        <f t="shared" si="0"/>
        <v>21360</v>
      </c>
      <c r="IG6" s="38">
        <v>13</v>
      </c>
      <c r="IH6" s="36">
        <v>11.6</v>
      </c>
      <c r="II6" s="33">
        <v>14.5</v>
      </c>
      <c r="IJ6" s="37">
        <f t="shared" si="1"/>
        <v>10844</v>
      </c>
      <c r="IK6" s="38">
        <v>6.6</v>
      </c>
      <c r="IL6" s="36">
        <v>6.1</v>
      </c>
      <c r="IM6" s="33">
        <v>7.2</v>
      </c>
      <c r="IN6" s="37">
        <v>43</v>
      </c>
      <c r="IO6" s="33">
        <v>29.9</v>
      </c>
      <c r="IP6" s="37">
        <v>15850</v>
      </c>
      <c r="IQ6" s="33">
        <v>9.6999999999999993</v>
      </c>
      <c r="IR6" s="37">
        <v>3910.6405337000001</v>
      </c>
      <c r="IS6" s="33">
        <v>2.4980935408999998</v>
      </c>
      <c r="IT6" s="37">
        <v>76</v>
      </c>
      <c r="IU6" s="36">
        <v>15.426710944</v>
      </c>
      <c r="IV6" s="36">
        <v>12.154493613</v>
      </c>
      <c r="IW6" s="36">
        <v>19.308829146000001</v>
      </c>
      <c r="IX6" s="36"/>
      <c r="IY6" s="36"/>
      <c r="IZ6" s="36"/>
      <c r="JA6" s="36"/>
      <c r="JB6" s="36"/>
      <c r="JC6" s="36"/>
      <c r="JD6" s="36"/>
      <c r="JE6" s="36"/>
      <c r="JF6" s="36"/>
      <c r="JG6" s="36"/>
      <c r="JH6" s="36"/>
      <c r="JI6" s="36"/>
      <c r="JJ6" s="36"/>
      <c r="JK6" s="36"/>
      <c r="JL6" s="33"/>
      <c r="JM6" s="36">
        <v>61</v>
      </c>
      <c r="JN6" s="36">
        <v>5.3580776973999997</v>
      </c>
      <c r="JO6" s="36">
        <v>4.0985048821000003</v>
      </c>
      <c r="JP6" s="36">
        <v>6.8826749556999998</v>
      </c>
      <c r="JQ6" s="36"/>
      <c r="JR6" s="36"/>
      <c r="JS6" s="36"/>
      <c r="JT6" s="36"/>
      <c r="JU6" s="36"/>
      <c r="JV6" s="36"/>
      <c r="JW6" s="36"/>
      <c r="JX6" s="36"/>
      <c r="JY6" s="36"/>
      <c r="JZ6" s="36"/>
      <c r="KA6" s="36"/>
      <c r="KB6" s="36"/>
      <c r="KC6" s="36"/>
      <c r="KD6" s="36"/>
      <c r="KE6" s="33"/>
      <c r="KF6" s="37">
        <f t="shared" si="2"/>
        <v>48442</v>
      </c>
      <c r="KG6" s="38">
        <v>29.482938793999999</v>
      </c>
      <c r="KH6" s="36">
        <v>27.937650949999998</v>
      </c>
      <c r="KI6" s="33">
        <v>31.016599488000001</v>
      </c>
      <c r="KJ6" s="37">
        <v>5943</v>
      </c>
      <c r="KK6" s="36">
        <v>5.8388351804000003</v>
      </c>
      <c r="KL6" s="36">
        <v>5.1239415633999998</v>
      </c>
      <c r="KM6" s="33">
        <v>6.5537287973999998</v>
      </c>
      <c r="KN6" s="37">
        <v>518</v>
      </c>
      <c r="KO6" s="36">
        <v>1.7322676655</v>
      </c>
      <c r="KP6" s="36">
        <v>1.2556719208</v>
      </c>
      <c r="KQ6" s="33">
        <v>2.2088634101000002</v>
      </c>
      <c r="KR6" s="36">
        <v>155.80685</v>
      </c>
      <c r="KS6" s="39" t="s">
        <v>514</v>
      </c>
      <c r="KT6" s="36">
        <v>1674</v>
      </c>
      <c r="KU6" s="33">
        <v>87.206391875999998</v>
      </c>
      <c r="KV6" s="36">
        <v>2.8323358340999998</v>
      </c>
      <c r="KW6" s="36">
        <v>1.3466629719000001</v>
      </c>
      <c r="KX6" s="33">
        <v>4.3180086962999997</v>
      </c>
      <c r="KY6" s="34"/>
      <c r="KZ6" s="34"/>
      <c r="LA6" s="34"/>
      <c r="LB6" s="34"/>
      <c r="LC6" s="35"/>
      <c r="LD6" s="34"/>
      <c r="LE6" s="34"/>
      <c r="LF6" s="34"/>
      <c r="LG6" s="34"/>
      <c r="LH6" s="35"/>
      <c r="LI6" s="40">
        <v>0.10272377890000001</v>
      </c>
      <c r="LJ6" s="36"/>
      <c r="LK6" s="33"/>
      <c r="LL6" s="36">
        <v>49914</v>
      </c>
      <c r="LM6" s="36">
        <v>60729</v>
      </c>
      <c r="LN6" s="41">
        <v>0.82191374800000006</v>
      </c>
      <c r="LO6" s="41">
        <v>0.77907333249999999</v>
      </c>
      <c r="LP6" s="40">
        <v>0.8647541634</v>
      </c>
      <c r="LQ6" s="36">
        <v>80539</v>
      </c>
      <c r="LR6" s="36">
        <v>74043</v>
      </c>
      <c r="LS6" s="36">
        <v>87035</v>
      </c>
      <c r="LT6" s="36">
        <v>43922</v>
      </c>
      <c r="LU6" s="36">
        <v>21954.510638</v>
      </c>
      <c r="LV6" s="36">
        <v>65889.489361999993</v>
      </c>
      <c r="LW6" s="36">
        <v>50625</v>
      </c>
      <c r="LX6" s="36">
        <v>30032.489362</v>
      </c>
      <c r="LY6" s="36">
        <v>71217.510638000007</v>
      </c>
      <c r="LZ6" s="36">
        <v>36310</v>
      </c>
      <c r="MA6" s="36">
        <v>20616.893617000002</v>
      </c>
      <c r="MB6" s="36">
        <v>52003.106382999998</v>
      </c>
      <c r="MC6" s="36">
        <v>56738</v>
      </c>
      <c r="MD6" s="36">
        <v>51409.659573999998</v>
      </c>
      <c r="ME6" s="36">
        <v>62066.340426000002</v>
      </c>
      <c r="MF6" s="36">
        <v>79772</v>
      </c>
      <c r="MG6" s="36">
        <v>76458.468085</v>
      </c>
      <c r="MH6" s="33">
        <v>83085.531915</v>
      </c>
      <c r="MI6" s="42">
        <v>25.499121186</v>
      </c>
      <c r="MJ6" s="33">
        <v>51.694970240000004</v>
      </c>
      <c r="MK6" s="33">
        <v>35.257635538000002</v>
      </c>
      <c r="ML6" s="42">
        <v>25.981201653999999</v>
      </c>
      <c r="MM6" s="36">
        <v>174</v>
      </c>
      <c r="MN6" s="33">
        <v>23.049410517999998</v>
      </c>
      <c r="MO6" s="36">
        <v>1.9324214646</v>
      </c>
      <c r="MP6" s="36">
        <v>1.2110382437</v>
      </c>
      <c r="MQ6" s="36">
        <v>2.9257093205000002</v>
      </c>
      <c r="MR6" s="36"/>
      <c r="MS6" s="36"/>
      <c r="MT6" s="36"/>
      <c r="MU6" s="36"/>
      <c r="MV6" s="36"/>
      <c r="MW6" s="36"/>
      <c r="MX6" s="36"/>
      <c r="MY6" s="36"/>
      <c r="MZ6" s="36"/>
      <c r="NA6" s="36"/>
      <c r="NB6" s="36"/>
      <c r="NC6" s="36"/>
      <c r="ND6" s="36"/>
      <c r="NE6" s="36"/>
      <c r="NF6" s="33"/>
      <c r="NG6" s="37">
        <v>104</v>
      </c>
      <c r="NH6" s="36">
        <v>12.135631536</v>
      </c>
      <c r="NI6" s="36">
        <v>9.7301239454000008</v>
      </c>
      <c r="NJ6" s="36">
        <v>14.541139126999999</v>
      </c>
      <c r="NK6" s="36">
        <v>12.73643539</v>
      </c>
      <c r="NL6" s="36"/>
      <c r="NM6" s="36"/>
      <c r="NN6" s="36"/>
      <c r="NO6" s="36"/>
      <c r="NP6" s="36"/>
      <c r="NQ6" s="36"/>
      <c r="NR6" s="36"/>
      <c r="NS6" s="36"/>
      <c r="NT6" s="36"/>
      <c r="NU6" s="36"/>
      <c r="NV6" s="36"/>
      <c r="NW6" s="36"/>
      <c r="NX6" s="36"/>
      <c r="NY6" s="36"/>
      <c r="NZ6" s="33"/>
      <c r="OA6" s="37">
        <v>55</v>
      </c>
      <c r="OB6" s="36">
        <v>6.7356148698</v>
      </c>
      <c r="OC6" s="36">
        <v>5.0741869159000004</v>
      </c>
      <c r="OD6" s="36">
        <v>8.7673285910000001</v>
      </c>
      <c r="OE6" s="36"/>
      <c r="OF6" s="36"/>
      <c r="OG6" s="36"/>
      <c r="OH6" s="36"/>
      <c r="OI6" s="36"/>
      <c r="OJ6" s="36"/>
      <c r="OK6" s="36"/>
      <c r="OL6" s="36"/>
      <c r="OM6" s="36"/>
      <c r="ON6" s="36"/>
      <c r="OO6" s="36"/>
      <c r="OP6" s="36"/>
      <c r="OQ6" s="36"/>
      <c r="OR6" s="36"/>
      <c r="OS6" s="33"/>
      <c r="OT6" s="43"/>
      <c r="OU6" s="44">
        <v>198</v>
      </c>
      <c r="OV6" s="36">
        <v>13400</v>
      </c>
      <c r="OW6" s="36">
        <v>14.776119402999999</v>
      </c>
      <c r="OX6" s="33">
        <v>401.77538976</v>
      </c>
      <c r="OY6" s="36">
        <v>41815</v>
      </c>
      <c r="OZ6" s="36">
        <v>62.900508438999999</v>
      </c>
      <c r="PA6" s="36">
        <v>61.401833809000003</v>
      </c>
      <c r="PB6" s="33">
        <v>64.399183067999999</v>
      </c>
      <c r="PC6" s="37">
        <v>10278</v>
      </c>
      <c r="PD6" s="36">
        <v>15.673656119</v>
      </c>
      <c r="PE6" s="36">
        <v>14.200488739000001</v>
      </c>
      <c r="PF6" s="33">
        <v>17.146823499</v>
      </c>
      <c r="PG6" s="45">
        <v>86.819699749999998</v>
      </c>
      <c r="PH6" s="36">
        <v>57716</v>
      </c>
      <c r="PI6" s="36">
        <v>85.313800143999998</v>
      </c>
      <c r="PJ6" s="33">
        <v>88.325599357000002</v>
      </c>
      <c r="PK6" s="33">
        <v>164306</v>
      </c>
      <c r="PL6" s="33">
        <f t="shared" si="3"/>
        <v>28617</v>
      </c>
      <c r="PM6" s="35">
        <v>17.416892871000002</v>
      </c>
      <c r="PN6" s="33">
        <f t="shared" si="4"/>
        <v>26445</v>
      </c>
      <c r="PO6" s="35">
        <v>16.094969143</v>
      </c>
      <c r="PP6" s="36">
        <v>3940</v>
      </c>
      <c r="PQ6" s="35">
        <v>2.397964773</v>
      </c>
      <c r="PR6" s="36">
        <v>412</v>
      </c>
      <c r="PS6" s="35">
        <v>0.25075164630000002</v>
      </c>
      <c r="PT6" s="36">
        <v>7957</v>
      </c>
      <c r="PU6" s="35">
        <v>4.8427933246999997</v>
      </c>
      <c r="PV6" s="36">
        <v>58</v>
      </c>
      <c r="PW6" s="35">
        <v>3.5299988999999997E-2</v>
      </c>
      <c r="PX6" s="36">
        <v>4204</v>
      </c>
      <c r="PY6" s="35">
        <v>2.5586405852</v>
      </c>
      <c r="PZ6" s="36">
        <v>144343</v>
      </c>
      <c r="QA6" s="35">
        <v>87.850108942999995</v>
      </c>
      <c r="QB6" s="36">
        <v>2555</v>
      </c>
      <c r="QC6" s="36">
        <v>1.6392390851</v>
      </c>
      <c r="QD6" s="36">
        <v>1.2428230297</v>
      </c>
      <c r="QE6" s="33">
        <v>2.0356551404999998</v>
      </c>
      <c r="QF6" s="35">
        <v>51.010918652000001</v>
      </c>
      <c r="QG6" s="38">
        <v>40680</v>
      </c>
      <c r="QH6" s="35">
        <v>25.986138171</v>
      </c>
    </row>
    <row r="7" spans="1:450" x14ac:dyDescent="0.25">
      <c r="A7">
        <v>50</v>
      </c>
      <c r="B7" t="s">
        <v>501</v>
      </c>
      <c r="C7" t="s">
        <v>502</v>
      </c>
      <c r="D7">
        <v>50009</v>
      </c>
      <c r="E7" t="s">
        <v>515</v>
      </c>
      <c r="F7">
        <v>50009</v>
      </c>
      <c r="G7" t="s">
        <v>516</v>
      </c>
      <c r="H7">
        <v>662.53919488488395</v>
      </c>
      <c r="I7">
        <v>6179</v>
      </c>
      <c r="J7">
        <v>3</v>
      </c>
      <c r="K7">
        <v>5209</v>
      </c>
      <c r="L7">
        <v>36</v>
      </c>
      <c r="M7">
        <v>2882</v>
      </c>
      <c r="N7">
        <v>127</v>
      </c>
      <c r="O7" s="8">
        <v>1526</v>
      </c>
      <c r="P7">
        <v>218</v>
      </c>
      <c r="Q7" s="9">
        <v>153</v>
      </c>
      <c r="R7">
        <v>42</v>
      </c>
      <c r="S7" s="10">
        <v>860</v>
      </c>
      <c r="T7">
        <v>112</v>
      </c>
      <c r="U7" s="11">
        <v>552</v>
      </c>
      <c r="V7">
        <v>86</v>
      </c>
      <c r="W7" s="12">
        <v>320</v>
      </c>
      <c r="X7">
        <v>71</v>
      </c>
      <c r="Y7" s="13">
        <v>1618</v>
      </c>
      <c r="Z7">
        <v>26</v>
      </c>
      <c r="AA7" s="14">
        <v>1067</v>
      </c>
      <c r="AB7">
        <v>23</v>
      </c>
      <c r="AC7" s="8">
        <v>1257</v>
      </c>
      <c r="AD7">
        <v>139</v>
      </c>
      <c r="AE7" s="9">
        <v>166</v>
      </c>
      <c r="AF7">
        <v>55</v>
      </c>
      <c r="AG7" s="10">
        <v>7</v>
      </c>
      <c r="AH7">
        <v>54</v>
      </c>
      <c r="AI7" s="11">
        <v>310</v>
      </c>
      <c r="AJ7">
        <v>70</v>
      </c>
      <c r="AK7" s="12">
        <v>17</v>
      </c>
      <c r="AL7">
        <v>10</v>
      </c>
      <c r="AM7" s="13">
        <v>516</v>
      </c>
      <c r="AN7">
        <v>83</v>
      </c>
      <c r="AO7" s="14">
        <v>73</v>
      </c>
      <c r="AP7">
        <v>36</v>
      </c>
      <c r="AQ7" s="8">
        <v>130</v>
      </c>
      <c r="AR7">
        <v>39</v>
      </c>
      <c r="AS7" s="9">
        <v>25</v>
      </c>
      <c r="AT7">
        <v>12</v>
      </c>
      <c r="AU7">
        <v>24.8</v>
      </c>
      <c r="AV7">
        <v>3.5</v>
      </c>
      <c r="AW7">
        <v>5.2</v>
      </c>
      <c r="AX7">
        <v>1.5</v>
      </c>
      <c r="AY7">
        <v>29.8</v>
      </c>
      <c r="AZ7">
        <v>3.7</v>
      </c>
      <c r="BA7">
        <v>11.6</v>
      </c>
      <c r="BB7">
        <v>1.8</v>
      </c>
      <c r="BC7">
        <v>5.2</v>
      </c>
      <c r="BD7">
        <v>1.1000000000000001</v>
      </c>
      <c r="BE7">
        <v>26.2</v>
      </c>
      <c r="BF7">
        <v>0.4</v>
      </c>
      <c r="BG7">
        <v>17.3</v>
      </c>
      <c r="BH7">
        <v>0.4</v>
      </c>
      <c r="BI7">
        <v>20.3</v>
      </c>
      <c r="BJ7">
        <v>2.2999999999999998</v>
      </c>
      <c r="BK7">
        <v>5.8</v>
      </c>
      <c r="BL7">
        <v>1.9</v>
      </c>
      <c r="BM7">
        <v>0.1</v>
      </c>
      <c r="BN7">
        <v>0.9</v>
      </c>
      <c r="BO7">
        <v>5</v>
      </c>
      <c r="BP7">
        <v>1.1000000000000001</v>
      </c>
      <c r="BQ7">
        <v>0.3</v>
      </c>
      <c r="BR7">
        <v>0.2</v>
      </c>
      <c r="BS7">
        <v>9.9</v>
      </c>
      <c r="BT7">
        <v>1.6</v>
      </c>
      <c r="BU7">
        <v>2.5</v>
      </c>
      <c r="BV7">
        <v>1.2</v>
      </c>
      <c r="BW7">
        <v>4.5</v>
      </c>
      <c r="BX7">
        <v>1.3</v>
      </c>
      <c r="BY7">
        <v>0.4</v>
      </c>
      <c r="BZ7">
        <v>0.2</v>
      </c>
      <c r="CA7">
        <v>1</v>
      </c>
      <c r="CB7">
        <v>1</v>
      </c>
      <c r="CC7">
        <v>7.6899999999999996E-2</v>
      </c>
      <c r="CD7">
        <v>1</v>
      </c>
      <c r="CE7">
        <v>0.76919999999999999</v>
      </c>
      <c r="CF7">
        <v>3.8460999999999999</v>
      </c>
      <c r="CG7">
        <v>1</v>
      </c>
      <c r="CH7">
        <v>1</v>
      </c>
      <c r="CI7">
        <v>0.15379999999999999</v>
      </c>
      <c r="CJ7">
        <v>1</v>
      </c>
      <c r="CK7">
        <v>0.84619999999999995</v>
      </c>
      <c r="CL7">
        <v>0</v>
      </c>
      <c r="CM7">
        <v>3</v>
      </c>
      <c r="CN7">
        <v>0.69230000000000003</v>
      </c>
      <c r="CO7">
        <v>7.6899999999999996E-2</v>
      </c>
      <c r="CP7">
        <v>7.6899999999999996E-2</v>
      </c>
      <c r="CQ7">
        <v>7.6899999999999996E-2</v>
      </c>
      <c r="CR7">
        <v>0</v>
      </c>
      <c r="CS7">
        <v>0.92310000000000003</v>
      </c>
      <c r="CT7">
        <v>0.92310000000000003</v>
      </c>
      <c r="CU7">
        <v>0.15379999999999999</v>
      </c>
      <c r="CV7">
        <v>7.6899999999999996E-2</v>
      </c>
      <c r="CW7">
        <v>2.0769000000000002</v>
      </c>
      <c r="CX7">
        <v>0.15379999999999999</v>
      </c>
      <c r="CY7">
        <v>8.9999000000000002</v>
      </c>
      <c r="CZ7">
        <v>0.76919999999999999</v>
      </c>
      <c r="DA7">
        <v>1</v>
      </c>
      <c r="DB7">
        <v>1</v>
      </c>
      <c r="DC7">
        <v>0</v>
      </c>
      <c r="DD7">
        <v>1</v>
      </c>
      <c r="DE7">
        <v>0</v>
      </c>
      <c r="DF7">
        <v>3</v>
      </c>
      <c r="DG7">
        <v>1</v>
      </c>
      <c r="DH7">
        <v>0</v>
      </c>
      <c r="DI7">
        <v>1</v>
      </c>
      <c r="DJ7">
        <v>0</v>
      </c>
      <c r="DK7">
        <v>0</v>
      </c>
      <c r="DL7">
        <v>2</v>
      </c>
      <c r="DM7">
        <v>0</v>
      </c>
      <c r="DN7">
        <v>0</v>
      </c>
      <c r="DO7">
        <v>0</v>
      </c>
      <c r="DP7">
        <v>1</v>
      </c>
      <c r="DQ7">
        <v>1</v>
      </c>
      <c r="DR7">
        <v>0</v>
      </c>
      <c r="DS7">
        <v>0</v>
      </c>
      <c r="DT7">
        <v>2</v>
      </c>
      <c r="DU7">
        <v>7</v>
      </c>
      <c r="DV7">
        <v>4239</v>
      </c>
      <c r="DW7">
        <v>1074</v>
      </c>
      <c r="DX7">
        <v>168</v>
      </c>
      <c r="DY7" s="8">
        <v>46</v>
      </c>
      <c r="DZ7">
        <v>38</v>
      </c>
      <c r="EA7" s="9">
        <v>86</v>
      </c>
      <c r="EB7">
        <v>14</v>
      </c>
      <c r="EC7" s="10">
        <v>27</v>
      </c>
      <c r="ED7">
        <v>25</v>
      </c>
      <c r="EE7" s="11">
        <v>4</v>
      </c>
      <c r="EF7">
        <v>7</v>
      </c>
      <c r="EG7" s="12">
        <v>0</v>
      </c>
      <c r="EH7">
        <v>14</v>
      </c>
      <c r="EI7" s="13">
        <v>143</v>
      </c>
      <c r="EJ7">
        <v>50</v>
      </c>
      <c r="EK7" s="14">
        <v>4</v>
      </c>
      <c r="EL7">
        <v>4</v>
      </c>
      <c r="EM7">
        <v>17.5</v>
      </c>
      <c r="EN7">
        <v>0</v>
      </c>
      <c r="EO7">
        <v>0.7</v>
      </c>
      <c r="EP7">
        <v>0.6</v>
      </c>
      <c r="EQ7">
        <v>1.4</v>
      </c>
      <c r="ER7">
        <v>0.1</v>
      </c>
      <c r="ES7">
        <v>0.4</v>
      </c>
      <c r="ET7">
        <v>0.4</v>
      </c>
      <c r="EU7">
        <v>0.1</v>
      </c>
      <c r="EV7">
        <v>0.1</v>
      </c>
      <c r="EW7">
        <v>0</v>
      </c>
      <c r="EX7">
        <v>0.4</v>
      </c>
      <c r="EY7">
        <v>2.2999999999999998</v>
      </c>
      <c r="EZ7">
        <v>0.8</v>
      </c>
      <c r="FA7">
        <v>0.1</v>
      </c>
      <c r="FB7">
        <v>0.1</v>
      </c>
      <c r="FC7" s="32"/>
      <c r="FD7" s="33"/>
      <c r="FE7" s="34">
        <v>79.801556867000002</v>
      </c>
      <c r="FF7" s="34">
        <v>77.646342775999997</v>
      </c>
      <c r="FG7" s="34">
        <v>81.956770958999996</v>
      </c>
      <c r="FH7" s="34"/>
      <c r="FI7" s="34"/>
      <c r="FJ7" s="34"/>
      <c r="FK7" s="34"/>
      <c r="FL7" s="34"/>
      <c r="FM7" s="34"/>
      <c r="FN7" s="34"/>
      <c r="FO7" s="34"/>
      <c r="FP7" s="34"/>
      <c r="FQ7" s="34"/>
      <c r="FR7" s="34"/>
      <c r="FS7" s="34"/>
      <c r="FT7" s="34"/>
      <c r="FU7" s="34"/>
      <c r="FV7" s="35"/>
      <c r="FW7" s="36">
        <v>108</v>
      </c>
      <c r="FX7" s="36">
        <v>367.13960879000001</v>
      </c>
      <c r="FY7" s="36">
        <v>288.46962292000001</v>
      </c>
      <c r="FZ7" s="36">
        <v>445.80959465000001</v>
      </c>
      <c r="GA7" s="36"/>
      <c r="GB7" s="36"/>
      <c r="GC7" s="36"/>
      <c r="GD7" s="36"/>
      <c r="GE7" s="36"/>
      <c r="GF7" s="36"/>
      <c r="GG7" s="36"/>
      <c r="GH7" s="36"/>
      <c r="GI7" s="36"/>
      <c r="GJ7" s="36"/>
      <c r="GK7" s="36"/>
      <c r="GL7" s="36"/>
      <c r="GM7" s="36"/>
      <c r="GN7" s="36"/>
      <c r="GO7" s="33"/>
      <c r="GP7" s="36"/>
      <c r="GQ7" s="36"/>
      <c r="GR7" s="36"/>
      <c r="GS7" s="36"/>
      <c r="GT7" s="36"/>
      <c r="GU7" s="36"/>
      <c r="GV7" s="36"/>
      <c r="GW7" s="36"/>
      <c r="GX7" s="36"/>
      <c r="GY7" s="36"/>
      <c r="GZ7" s="36"/>
      <c r="HA7" s="36"/>
      <c r="HB7" s="36"/>
      <c r="HC7" s="36"/>
      <c r="HD7" s="36"/>
      <c r="HE7" s="36"/>
      <c r="HF7" s="36"/>
      <c r="HG7" s="36"/>
      <c r="HH7" s="33"/>
      <c r="HI7" s="36"/>
      <c r="HJ7" s="36"/>
      <c r="HK7" s="36"/>
      <c r="HL7" s="36"/>
      <c r="HM7" s="36"/>
      <c r="HN7" s="36"/>
      <c r="HO7" s="36"/>
      <c r="HP7" s="36"/>
      <c r="HQ7" s="36"/>
      <c r="HR7" s="36"/>
      <c r="HS7" s="36"/>
      <c r="HT7" s="36"/>
      <c r="HU7" s="36"/>
      <c r="HV7" s="36"/>
      <c r="HW7" s="36"/>
      <c r="HX7" s="36"/>
      <c r="HY7" s="36"/>
      <c r="HZ7" s="36"/>
      <c r="IA7" s="33"/>
      <c r="IB7" s="37">
        <f t="shared" si="5"/>
        <v>827</v>
      </c>
      <c r="IC7" s="38">
        <v>13.5</v>
      </c>
      <c r="ID7" s="36">
        <v>12</v>
      </c>
      <c r="IE7" s="33">
        <v>14.9</v>
      </c>
      <c r="IF7" s="37">
        <f t="shared" si="0"/>
        <v>1016</v>
      </c>
      <c r="IG7" s="38">
        <v>16.600000000000001</v>
      </c>
      <c r="IH7" s="36">
        <v>14.9</v>
      </c>
      <c r="II7" s="33">
        <v>18</v>
      </c>
      <c r="IJ7" s="37">
        <f t="shared" si="1"/>
        <v>520</v>
      </c>
      <c r="IK7" s="38">
        <v>8.5</v>
      </c>
      <c r="IL7" s="36">
        <v>7.8</v>
      </c>
      <c r="IM7" s="33">
        <v>9.1999999999999993</v>
      </c>
      <c r="IN7" s="37"/>
      <c r="IO7" s="33"/>
      <c r="IP7" s="37">
        <v>760</v>
      </c>
      <c r="IQ7" s="33">
        <v>12.3</v>
      </c>
      <c r="IR7" s="37">
        <v>632.15344518999996</v>
      </c>
      <c r="IS7" s="33">
        <v>10.024634399</v>
      </c>
      <c r="IT7" s="37"/>
      <c r="IU7" s="36"/>
      <c r="IV7" s="36"/>
      <c r="IW7" s="36"/>
      <c r="IX7" s="36"/>
      <c r="IY7" s="36"/>
      <c r="IZ7" s="36"/>
      <c r="JA7" s="36"/>
      <c r="JB7" s="36"/>
      <c r="JC7" s="36"/>
      <c r="JD7" s="36"/>
      <c r="JE7" s="36"/>
      <c r="JF7" s="36"/>
      <c r="JG7" s="36"/>
      <c r="JH7" s="36"/>
      <c r="JI7" s="36"/>
      <c r="JJ7" s="36"/>
      <c r="JK7" s="36"/>
      <c r="JL7" s="33"/>
      <c r="JM7" s="36">
        <v>12</v>
      </c>
      <c r="JN7" s="36">
        <v>27.758501040999999</v>
      </c>
      <c r="JO7" s="36">
        <v>14.343222551</v>
      </c>
      <c r="JP7" s="36">
        <v>48.488515032000002</v>
      </c>
      <c r="JQ7" s="36"/>
      <c r="JR7" s="36"/>
      <c r="JS7" s="36"/>
      <c r="JT7" s="36"/>
      <c r="JU7" s="36"/>
      <c r="JV7" s="36"/>
      <c r="JW7" s="36"/>
      <c r="JX7" s="36"/>
      <c r="JY7" s="36"/>
      <c r="JZ7" s="36"/>
      <c r="KA7" s="36"/>
      <c r="KB7" s="36"/>
      <c r="KC7" s="36"/>
      <c r="KD7" s="36"/>
      <c r="KE7" s="33"/>
      <c r="KF7" s="37">
        <f t="shared" si="2"/>
        <v>2168</v>
      </c>
      <c r="KG7" s="38">
        <v>35.400512052000003</v>
      </c>
      <c r="KH7" s="36">
        <v>33.738247297999997</v>
      </c>
      <c r="KI7" s="33">
        <v>36.776982437999997</v>
      </c>
      <c r="KJ7" s="37">
        <v>268</v>
      </c>
      <c r="KK7" s="36">
        <v>7.7233429395000002</v>
      </c>
      <c r="KL7" s="36">
        <v>6.2935557054000002</v>
      </c>
      <c r="KM7" s="33">
        <v>9.1531301734999992</v>
      </c>
      <c r="KN7" s="37">
        <v>22</v>
      </c>
      <c r="KO7" s="36">
        <v>2.0833333333000001</v>
      </c>
      <c r="KP7" s="36">
        <v>1.130141844</v>
      </c>
      <c r="KQ7" s="33">
        <v>3.0365248227000001</v>
      </c>
      <c r="KR7" s="36">
        <v>65.327449999999999</v>
      </c>
      <c r="KS7" s="39" t="s">
        <v>517</v>
      </c>
      <c r="KT7" s="36"/>
      <c r="KU7" s="33"/>
      <c r="KV7" s="36"/>
      <c r="KW7" s="36"/>
      <c r="KX7" s="33"/>
      <c r="KY7" s="34"/>
      <c r="KZ7" s="34"/>
      <c r="LA7" s="34"/>
      <c r="LB7" s="34"/>
      <c r="LC7" s="35"/>
      <c r="LD7" s="34"/>
      <c r="LE7" s="34"/>
      <c r="LF7" s="34"/>
      <c r="LG7" s="34"/>
      <c r="LH7" s="35"/>
      <c r="LI7" s="40"/>
      <c r="LJ7" s="36"/>
      <c r="LK7" s="33"/>
      <c r="LL7" s="36">
        <v>38047</v>
      </c>
      <c r="LM7" s="36">
        <v>44364</v>
      </c>
      <c r="LN7" s="41">
        <v>0.85760977370000002</v>
      </c>
      <c r="LO7" s="41">
        <v>0.74406002940000004</v>
      </c>
      <c r="LP7" s="40">
        <v>0.971159518</v>
      </c>
      <c r="LQ7" s="36">
        <v>50956</v>
      </c>
      <c r="LR7" s="36">
        <v>42751.404255000001</v>
      </c>
      <c r="LS7" s="36">
        <v>59160.595744999999</v>
      </c>
      <c r="LT7" s="36"/>
      <c r="LU7" s="36"/>
      <c r="LV7" s="36"/>
      <c r="LW7" s="36"/>
      <c r="LX7" s="36"/>
      <c r="LY7" s="36"/>
      <c r="LZ7" s="36"/>
      <c r="MA7" s="36"/>
      <c r="MB7" s="36"/>
      <c r="MC7" s="36"/>
      <c r="MD7" s="36"/>
      <c r="ME7" s="36"/>
      <c r="MF7" s="36"/>
      <c r="MG7" s="36"/>
      <c r="MH7" s="33"/>
      <c r="MI7" s="42">
        <v>40.540540540999999</v>
      </c>
      <c r="MJ7" s="33"/>
      <c r="MK7" s="33">
        <v>4.3327254841</v>
      </c>
      <c r="ML7" s="42">
        <v>27.066488735</v>
      </c>
      <c r="MM7" s="36">
        <v>5</v>
      </c>
      <c r="MN7" s="33">
        <v>19.305019304999998</v>
      </c>
      <c r="MO7" s="36"/>
      <c r="MP7" s="36"/>
      <c r="MQ7" s="36"/>
      <c r="MR7" s="36"/>
      <c r="MS7" s="36"/>
      <c r="MT7" s="36"/>
      <c r="MU7" s="36"/>
      <c r="MV7" s="36"/>
      <c r="MW7" s="36"/>
      <c r="MX7" s="36"/>
      <c r="MY7" s="36"/>
      <c r="MZ7" s="36"/>
      <c r="NA7" s="36"/>
      <c r="NB7" s="36"/>
      <c r="NC7" s="36"/>
      <c r="ND7" s="36"/>
      <c r="NE7" s="36"/>
      <c r="NF7" s="33"/>
      <c r="NG7" s="37"/>
      <c r="NH7" s="36"/>
      <c r="NI7" s="36"/>
      <c r="NJ7" s="36"/>
      <c r="NK7" s="36"/>
      <c r="NL7" s="36"/>
      <c r="NM7" s="36"/>
      <c r="NN7" s="36"/>
      <c r="NO7" s="36"/>
      <c r="NP7" s="36"/>
      <c r="NQ7" s="36"/>
      <c r="NR7" s="36"/>
      <c r="NS7" s="36"/>
      <c r="NT7" s="36"/>
      <c r="NU7" s="36"/>
      <c r="NV7" s="36"/>
      <c r="NW7" s="36"/>
      <c r="NX7" s="36"/>
      <c r="NY7" s="36"/>
      <c r="NZ7" s="33"/>
      <c r="OA7" s="37"/>
      <c r="OB7" s="36"/>
      <c r="OC7" s="36"/>
      <c r="OD7" s="36"/>
      <c r="OE7" s="36"/>
      <c r="OF7" s="36"/>
      <c r="OG7" s="36"/>
      <c r="OH7" s="36"/>
      <c r="OI7" s="36"/>
      <c r="OJ7" s="36"/>
      <c r="OK7" s="36"/>
      <c r="OL7" s="36"/>
      <c r="OM7" s="36"/>
      <c r="ON7" s="36"/>
      <c r="OO7" s="36"/>
      <c r="OP7" s="36"/>
      <c r="OQ7" s="36"/>
      <c r="OR7" s="36"/>
      <c r="OS7" s="33"/>
      <c r="OT7" s="43"/>
      <c r="OU7" s="46" t="s">
        <v>518</v>
      </c>
      <c r="OV7" s="36">
        <v>500</v>
      </c>
      <c r="OW7" s="36"/>
      <c r="OX7" s="33">
        <v>6.5712338517999997</v>
      </c>
      <c r="OY7" s="36">
        <v>2393</v>
      </c>
      <c r="OZ7" s="36">
        <v>83.032616239000006</v>
      </c>
      <c r="PA7" s="36">
        <v>80.181486370000002</v>
      </c>
      <c r="PB7" s="33">
        <v>85.883746107999997</v>
      </c>
      <c r="PC7" s="37">
        <v>406</v>
      </c>
      <c r="PD7" s="36">
        <v>14.683544304</v>
      </c>
      <c r="PE7" s="36">
        <v>11.059597905</v>
      </c>
      <c r="PF7" s="33">
        <v>18.307490701999999</v>
      </c>
      <c r="PG7" s="45">
        <v>76.474670368000005</v>
      </c>
      <c r="PH7" s="36">
        <v>2204</v>
      </c>
      <c r="PI7" s="36">
        <v>72.840258664999993</v>
      </c>
      <c r="PJ7" s="33">
        <v>80.109082069999999</v>
      </c>
      <c r="PK7" s="33">
        <v>6123</v>
      </c>
      <c r="PL7" s="33">
        <f t="shared" si="3"/>
        <v>1019</v>
      </c>
      <c r="PM7" s="35">
        <v>16.642168870999999</v>
      </c>
      <c r="PN7" s="33">
        <f t="shared" si="4"/>
        <v>1701</v>
      </c>
      <c r="PO7" s="35">
        <v>27.780499755000001</v>
      </c>
      <c r="PP7" s="36">
        <v>31</v>
      </c>
      <c r="PQ7" s="35">
        <v>0.50628776740000003</v>
      </c>
      <c r="PR7" s="36">
        <v>38</v>
      </c>
      <c r="PS7" s="35">
        <v>0.62061081169999999</v>
      </c>
      <c r="PT7" s="36">
        <v>43</v>
      </c>
      <c r="PU7" s="35">
        <v>0.70227012899999997</v>
      </c>
      <c r="PV7" s="36">
        <v>0</v>
      </c>
      <c r="PW7" s="35">
        <v>0</v>
      </c>
      <c r="PX7" s="36">
        <v>88</v>
      </c>
      <c r="PY7" s="35">
        <v>1.437203985</v>
      </c>
      <c r="PZ7" s="36">
        <v>5827</v>
      </c>
      <c r="QA7" s="35">
        <v>95.165768413999999</v>
      </c>
      <c r="QB7" s="36">
        <v>7</v>
      </c>
      <c r="QC7" s="36">
        <v>0.1182432432</v>
      </c>
      <c r="QD7" s="36">
        <v>0</v>
      </c>
      <c r="QE7" s="33">
        <v>1.2185946862999999</v>
      </c>
      <c r="QF7" s="35">
        <v>50.187816429999998</v>
      </c>
      <c r="QG7" s="38">
        <v>6306</v>
      </c>
      <c r="QH7" s="35">
        <v>100</v>
      </c>
    </row>
    <row r="8" spans="1:450" x14ac:dyDescent="0.25">
      <c r="A8">
        <v>50</v>
      </c>
      <c r="B8" t="s">
        <v>501</v>
      </c>
      <c r="C8" t="s">
        <v>502</v>
      </c>
      <c r="D8">
        <v>50011</v>
      </c>
      <c r="E8" t="s">
        <v>519</v>
      </c>
      <c r="F8">
        <v>50011</v>
      </c>
      <c r="G8" t="s">
        <v>520</v>
      </c>
      <c r="H8">
        <v>630.67596246932999</v>
      </c>
      <c r="I8">
        <v>49275</v>
      </c>
      <c r="J8">
        <v>0</v>
      </c>
      <c r="K8">
        <v>22706</v>
      </c>
      <c r="L8">
        <v>55</v>
      </c>
      <c r="M8">
        <v>19045</v>
      </c>
      <c r="N8">
        <v>355</v>
      </c>
      <c r="O8" s="8">
        <v>7944</v>
      </c>
      <c r="P8">
        <v>932</v>
      </c>
      <c r="Q8" s="9">
        <v>1163</v>
      </c>
      <c r="R8">
        <v>333</v>
      </c>
      <c r="S8" s="10">
        <v>5665</v>
      </c>
      <c r="T8">
        <v>504</v>
      </c>
      <c r="U8" s="11">
        <v>3086</v>
      </c>
      <c r="V8">
        <v>445</v>
      </c>
      <c r="W8" s="12">
        <v>1679</v>
      </c>
      <c r="X8">
        <v>282</v>
      </c>
      <c r="Y8" s="13">
        <v>7965</v>
      </c>
      <c r="Z8">
        <v>76</v>
      </c>
      <c r="AA8" s="14">
        <v>10948</v>
      </c>
      <c r="AB8">
        <v>0</v>
      </c>
      <c r="AC8" s="8">
        <v>6295</v>
      </c>
      <c r="AD8">
        <v>466</v>
      </c>
      <c r="AE8" s="9">
        <v>947</v>
      </c>
      <c r="AF8">
        <v>193</v>
      </c>
      <c r="AG8" s="10">
        <v>153</v>
      </c>
      <c r="AH8">
        <v>112</v>
      </c>
      <c r="AI8" s="11">
        <v>3113</v>
      </c>
      <c r="AJ8">
        <v>295</v>
      </c>
      <c r="AK8" s="12">
        <v>857</v>
      </c>
      <c r="AL8">
        <v>177</v>
      </c>
      <c r="AM8" s="13">
        <v>1552</v>
      </c>
      <c r="AN8">
        <v>276</v>
      </c>
      <c r="AO8" s="14">
        <v>256</v>
      </c>
      <c r="AP8">
        <v>92</v>
      </c>
      <c r="AQ8" s="8">
        <v>1070</v>
      </c>
      <c r="AR8">
        <v>248</v>
      </c>
      <c r="AS8" s="9">
        <v>409</v>
      </c>
      <c r="AT8">
        <v>137</v>
      </c>
      <c r="AU8">
        <v>16.3</v>
      </c>
      <c r="AV8">
        <v>1.9</v>
      </c>
      <c r="AW8">
        <v>4.4000000000000004</v>
      </c>
      <c r="AX8">
        <v>1.2</v>
      </c>
      <c r="AY8">
        <v>29.7</v>
      </c>
      <c r="AZ8">
        <v>2.6</v>
      </c>
      <c r="BA8">
        <v>8.9</v>
      </c>
      <c r="BB8">
        <v>1.3</v>
      </c>
      <c r="BC8">
        <v>3.4</v>
      </c>
      <c r="BD8">
        <v>0.6</v>
      </c>
      <c r="BE8">
        <v>16.2</v>
      </c>
      <c r="BF8">
        <v>0.2</v>
      </c>
      <c r="BG8">
        <v>22.2</v>
      </c>
      <c r="BH8">
        <v>0</v>
      </c>
      <c r="BI8">
        <v>12.9</v>
      </c>
      <c r="BJ8">
        <v>1</v>
      </c>
      <c r="BK8">
        <v>5</v>
      </c>
      <c r="BL8">
        <v>1</v>
      </c>
      <c r="BM8">
        <v>0.3</v>
      </c>
      <c r="BN8">
        <v>0.2</v>
      </c>
      <c r="BO8">
        <v>6.3</v>
      </c>
      <c r="BP8">
        <v>0.6</v>
      </c>
      <c r="BQ8">
        <v>3.8</v>
      </c>
      <c r="BR8">
        <v>0.8</v>
      </c>
      <c r="BS8">
        <v>6.8</v>
      </c>
      <c r="BT8">
        <v>1.2</v>
      </c>
      <c r="BU8">
        <v>1.3</v>
      </c>
      <c r="BV8">
        <v>0.5</v>
      </c>
      <c r="BW8">
        <v>5.6</v>
      </c>
      <c r="BX8">
        <v>1.3</v>
      </c>
      <c r="BY8">
        <v>0.8</v>
      </c>
      <c r="BZ8">
        <v>0.3</v>
      </c>
      <c r="CA8">
        <v>0.15379999999999999</v>
      </c>
      <c r="CB8">
        <v>0.76919999999999999</v>
      </c>
      <c r="CC8">
        <v>0.61539999999999995</v>
      </c>
      <c r="CD8">
        <v>0.84619999999999995</v>
      </c>
      <c r="CE8">
        <v>0.23080000000000001</v>
      </c>
      <c r="CF8">
        <v>2.6154000000000002</v>
      </c>
      <c r="CG8">
        <v>0.53849999999999998</v>
      </c>
      <c r="CH8">
        <v>7.6899999999999996E-2</v>
      </c>
      <c r="CI8">
        <v>1</v>
      </c>
      <c r="CJ8">
        <v>0.15379999999999999</v>
      </c>
      <c r="CK8">
        <v>0.53849999999999998</v>
      </c>
      <c r="CL8">
        <v>0.53849999999999998</v>
      </c>
      <c r="CM8">
        <v>2.3077000000000001</v>
      </c>
      <c r="CN8">
        <v>0.3846</v>
      </c>
      <c r="CO8">
        <v>0.53849999999999998</v>
      </c>
      <c r="CP8">
        <v>0.53849999999999998</v>
      </c>
      <c r="CQ8">
        <v>0.53849999999999998</v>
      </c>
      <c r="CR8">
        <v>0.53849999999999998</v>
      </c>
      <c r="CS8">
        <v>0.46150000000000002</v>
      </c>
      <c r="CT8">
        <v>0.3846</v>
      </c>
      <c r="CU8">
        <v>0.3846</v>
      </c>
      <c r="CV8">
        <v>0.15379999999999999</v>
      </c>
      <c r="CW8">
        <v>1.923</v>
      </c>
      <c r="CX8">
        <v>7.6899999999999996E-2</v>
      </c>
      <c r="CY8">
        <v>7.3845999999999998</v>
      </c>
      <c r="CZ8">
        <v>0.46150000000000002</v>
      </c>
      <c r="DA8">
        <v>0</v>
      </c>
      <c r="DB8">
        <v>0</v>
      </c>
      <c r="DC8">
        <v>0</v>
      </c>
      <c r="DD8">
        <v>0</v>
      </c>
      <c r="DE8">
        <v>0</v>
      </c>
      <c r="DF8">
        <v>0</v>
      </c>
      <c r="DG8">
        <v>0</v>
      </c>
      <c r="DH8">
        <v>1</v>
      </c>
      <c r="DI8">
        <v>0</v>
      </c>
      <c r="DJ8">
        <v>0</v>
      </c>
      <c r="DK8">
        <v>0</v>
      </c>
      <c r="DL8">
        <v>1</v>
      </c>
      <c r="DM8">
        <v>0</v>
      </c>
      <c r="DN8">
        <v>0</v>
      </c>
      <c r="DO8">
        <v>0</v>
      </c>
      <c r="DP8">
        <v>0</v>
      </c>
      <c r="DQ8">
        <v>0</v>
      </c>
      <c r="DR8">
        <v>0</v>
      </c>
      <c r="DS8">
        <v>0</v>
      </c>
      <c r="DT8">
        <v>0</v>
      </c>
      <c r="DU8">
        <v>1</v>
      </c>
      <c r="DV8">
        <v>42509</v>
      </c>
      <c r="DW8">
        <v>5940</v>
      </c>
      <c r="DX8">
        <v>739</v>
      </c>
      <c r="DY8" s="8">
        <v>188</v>
      </c>
      <c r="DZ8">
        <v>100</v>
      </c>
      <c r="EA8" s="9">
        <v>818</v>
      </c>
      <c r="EB8">
        <v>0</v>
      </c>
      <c r="EC8" s="10">
        <v>363</v>
      </c>
      <c r="ED8">
        <v>97</v>
      </c>
      <c r="EE8" s="11">
        <v>202</v>
      </c>
      <c r="EF8">
        <v>90</v>
      </c>
      <c r="EG8" s="12">
        <v>0</v>
      </c>
      <c r="EH8">
        <v>21</v>
      </c>
      <c r="EI8" s="13">
        <v>1521</v>
      </c>
      <c r="EJ8">
        <v>162</v>
      </c>
      <c r="EK8" s="14">
        <v>21</v>
      </c>
      <c r="EL8">
        <v>21</v>
      </c>
      <c r="EM8">
        <v>12.2</v>
      </c>
      <c r="EN8">
        <v>0</v>
      </c>
      <c r="EO8">
        <v>0.4</v>
      </c>
      <c r="EP8">
        <v>0.2</v>
      </c>
      <c r="EQ8">
        <v>1.7</v>
      </c>
      <c r="ER8">
        <v>0</v>
      </c>
      <c r="ES8">
        <v>0.7</v>
      </c>
      <c r="ET8">
        <v>0.2</v>
      </c>
      <c r="EU8">
        <v>0.4</v>
      </c>
      <c r="EV8">
        <v>0.2</v>
      </c>
      <c r="EW8">
        <v>0</v>
      </c>
      <c r="EX8">
        <v>0.1</v>
      </c>
      <c r="EY8">
        <v>3.1</v>
      </c>
      <c r="EZ8">
        <v>0.3</v>
      </c>
      <c r="FA8">
        <v>0</v>
      </c>
      <c r="FB8">
        <v>0.1</v>
      </c>
      <c r="FC8" s="32">
        <v>25</v>
      </c>
      <c r="FD8" s="33">
        <v>43.011450912999997</v>
      </c>
      <c r="FE8" s="34">
        <v>78.789052471000005</v>
      </c>
      <c r="FF8" s="34">
        <v>78.041613881999993</v>
      </c>
      <c r="FG8" s="34">
        <v>79.536491060000003</v>
      </c>
      <c r="FH8" s="34"/>
      <c r="FI8" s="34"/>
      <c r="FJ8" s="34"/>
      <c r="FK8" s="34"/>
      <c r="FL8" s="34"/>
      <c r="FM8" s="34"/>
      <c r="FN8" s="34"/>
      <c r="FO8" s="34"/>
      <c r="FP8" s="34"/>
      <c r="FQ8" s="34"/>
      <c r="FR8" s="34"/>
      <c r="FS8" s="34"/>
      <c r="FT8" s="34"/>
      <c r="FU8" s="34"/>
      <c r="FV8" s="35"/>
      <c r="FW8" s="36">
        <v>607</v>
      </c>
      <c r="FX8" s="36">
        <v>323.37002511999998</v>
      </c>
      <c r="FY8" s="36">
        <v>296.52031161999997</v>
      </c>
      <c r="FZ8" s="36">
        <v>350.21973860999998</v>
      </c>
      <c r="GA8" s="36"/>
      <c r="GB8" s="36"/>
      <c r="GC8" s="36"/>
      <c r="GD8" s="36"/>
      <c r="GE8" s="36"/>
      <c r="GF8" s="36"/>
      <c r="GG8" s="36"/>
      <c r="GH8" s="36"/>
      <c r="GI8" s="36"/>
      <c r="GJ8" s="36"/>
      <c r="GK8" s="36"/>
      <c r="GL8" s="36"/>
      <c r="GM8" s="36"/>
      <c r="GN8" s="36"/>
      <c r="GO8" s="33"/>
      <c r="GP8" s="36">
        <v>13</v>
      </c>
      <c r="GQ8" s="36">
        <v>29.798743867999999</v>
      </c>
      <c r="GR8" s="36">
        <v>15.866576104</v>
      </c>
      <c r="GS8" s="36">
        <v>50.956759542999997</v>
      </c>
      <c r="GT8" s="36"/>
      <c r="GU8" s="36"/>
      <c r="GV8" s="36"/>
      <c r="GW8" s="36"/>
      <c r="GX8" s="36"/>
      <c r="GY8" s="36"/>
      <c r="GZ8" s="36"/>
      <c r="HA8" s="36"/>
      <c r="HB8" s="36"/>
      <c r="HC8" s="36"/>
      <c r="HD8" s="36"/>
      <c r="HE8" s="36"/>
      <c r="HF8" s="36"/>
      <c r="HG8" s="36"/>
      <c r="HH8" s="33"/>
      <c r="HI8" s="36"/>
      <c r="HJ8" s="36"/>
      <c r="HK8" s="36"/>
      <c r="HL8" s="36"/>
      <c r="HM8" s="36"/>
      <c r="HN8" s="36"/>
      <c r="HO8" s="36"/>
      <c r="HP8" s="36"/>
      <c r="HQ8" s="36"/>
      <c r="HR8" s="36"/>
      <c r="HS8" s="36"/>
      <c r="HT8" s="36"/>
      <c r="HU8" s="36"/>
      <c r="HV8" s="36"/>
      <c r="HW8" s="36"/>
      <c r="HX8" s="36"/>
      <c r="HY8" s="36"/>
      <c r="HZ8" s="36"/>
      <c r="IA8" s="33"/>
      <c r="IB8" s="37">
        <f t="shared" si="5"/>
        <v>5863</v>
      </c>
      <c r="IC8" s="38">
        <v>11.8</v>
      </c>
      <c r="ID8" s="36">
        <v>10.6</v>
      </c>
      <c r="IE8" s="33">
        <v>13.1</v>
      </c>
      <c r="IF8" s="37">
        <f t="shared" si="0"/>
        <v>7254</v>
      </c>
      <c r="IG8" s="38">
        <v>14.6</v>
      </c>
      <c r="IH8" s="36">
        <v>13.1</v>
      </c>
      <c r="II8" s="33">
        <v>16.100000000000001</v>
      </c>
      <c r="IJ8" s="37">
        <f t="shared" si="1"/>
        <v>3627</v>
      </c>
      <c r="IK8" s="38">
        <v>7.3</v>
      </c>
      <c r="IL8" s="36">
        <v>6.7</v>
      </c>
      <c r="IM8" s="33">
        <v>7.9</v>
      </c>
      <c r="IN8" s="37">
        <v>8</v>
      </c>
      <c r="IO8" s="33">
        <v>19.2</v>
      </c>
      <c r="IP8" s="37">
        <v>4550</v>
      </c>
      <c r="IQ8" s="33">
        <v>9.3000000000000007</v>
      </c>
      <c r="IR8" s="37">
        <v>897.68335604000004</v>
      </c>
      <c r="IS8" s="33">
        <v>1.8801226407</v>
      </c>
      <c r="IT8" s="37">
        <v>28</v>
      </c>
      <c r="IU8" s="36">
        <v>18.854203140999999</v>
      </c>
      <c r="IV8" s="36">
        <v>12.528481061999999</v>
      </c>
      <c r="IW8" s="36">
        <v>27.249573048999999</v>
      </c>
      <c r="IX8" s="36"/>
      <c r="IY8" s="36"/>
      <c r="IZ8" s="36"/>
      <c r="JA8" s="36"/>
      <c r="JB8" s="36"/>
      <c r="JC8" s="36"/>
      <c r="JD8" s="36"/>
      <c r="JE8" s="36"/>
      <c r="JF8" s="36"/>
      <c r="JG8" s="36"/>
      <c r="JH8" s="36"/>
      <c r="JI8" s="36"/>
      <c r="JJ8" s="36"/>
      <c r="JK8" s="36"/>
      <c r="JL8" s="33"/>
      <c r="JM8" s="36">
        <v>42</v>
      </c>
      <c r="JN8" s="36">
        <v>12.213243227</v>
      </c>
      <c r="JO8" s="36">
        <v>8.8022314561999995</v>
      </c>
      <c r="JP8" s="36">
        <v>16.508756830999999</v>
      </c>
      <c r="JQ8" s="36"/>
      <c r="JR8" s="36"/>
      <c r="JS8" s="36"/>
      <c r="JT8" s="36"/>
      <c r="JU8" s="36"/>
      <c r="JV8" s="36"/>
      <c r="JW8" s="36"/>
      <c r="JX8" s="36"/>
      <c r="JY8" s="36"/>
      <c r="JZ8" s="36"/>
      <c r="KA8" s="36"/>
      <c r="KB8" s="36"/>
      <c r="KC8" s="36"/>
      <c r="KD8" s="36"/>
      <c r="KE8" s="33"/>
      <c r="KF8" s="37">
        <f t="shared" si="2"/>
        <v>17061</v>
      </c>
      <c r="KG8" s="38">
        <v>34.338495496999997</v>
      </c>
      <c r="KH8" s="36">
        <v>32.633641281999999</v>
      </c>
      <c r="KI8" s="33">
        <v>35.892605357000001</v>
      </c>
      <c r="KJ8" s="37">
        <v>2045</v>
      </c>
      <c r="KK8" s="36">
        <v>6.7843280363999998</v>
      </c>
      <c r="KL8" s="36">
        <v>5.7119876107999996</v>
      </c>
      <c r="KM8" s="33">
        <v>7.8566684619</v>
      </c>
      <c r="KN8" s="37">
        <v>172</v>
      </c>
      <c r="KO8" s="36">
        <v>1.5449564358000001</v>
      </c>
      <c r="KP8" s="36">
        <v>1.0683606911000001</v>
      </c>
      <c r="KQ8" s="33">
        <v>2.0215521805000001</v>
      </c>
      <c r="KR8" s="36">
        <v>116.73543000000001</v>
      </c>
      <c r="KS8" s="39" t="s">
        <v>521</v>
      </c>
      <c r="KT8" s="36">
        <v>567</v>
      </c>
      <c r="KU8" s="33">
        <v>81.141975309000003</v>
      </c>
      <c r="KV8" s="36">
        <v>9.6673189823999994</v>
      </c>
      <c r="KW8" s="36">
        <v>3.3356415995000002</v>
      </c>
      <c r="KX8" s="33">
        <v>15.998996365</v>
      </c>
      <c r="KY8" s="34"/>
      <c r="KZ8" s="34"/>
      <c r="LA8" s="34"/>
      <c r="LB8" s="34"/>
      <c r="LC8" s="35"/>
      <c r="LD8" s="34"/>
      <c r="LE8" s="34"/>
      <c r="LF8" s="34"/>
      <c r="LG8" s="34"/>
      <c r="LH8" s="35"/>
      <c r="LI8" s="40">
        <v>0.1053332884</v>
      </c>
      <c r="LJ8" s="36"/>
      <c r="LK8" s="33"/>
      <c r="LL8" s="36">
        <v>47400</v>
      </c>
      <c r="LM8" s="36">
        <v>52486</v>
      </c>
      <c r="LN8" s="41">
        <v>0.90309796899999994</v>
      </c>
      <c r="LO8" s="41">
        <v>0.81358132760000001</v>
      </c>
      <c r="LP8" s="40">
        <v>0.99261461029999998</v>
      </c>
      <c r="LQ8" s="36">
        <v>62763</v>
      </c>
      <c r="LR8" s="36">
        <v>53492.021277</v>
      </c>
      <c r="LS8" s="36">
        <v>72033.978722999993</v>
      </c>
      <c r="LT8" s="36">
        <v>22708</v>
      </c>
      <c r="LU8" s="36">
        <v>12679.234043</v>
      </c>
      <c r="LV8" s="36">
        <v>32736.765957</v>
      </c>
      <c r="LW8" s="36">
        <v>87863</v>
      </c>
      <c r="LX8" s="36">
        <v>79006.659574000005</v>
      </c>
      <c r="LY8" s="36">
        <v>96719.340425999995</v>
      </c>
      <c r="LZ8" s="36"/>
      <c r="MA8" s="36"/>
      <c r="MB8" s="36"/>
      <c r="MC8" s="36"/>
      <c r="MD8" s="36"/>
      <c r="ME8" s="36"/>
      <c r="MF8" s="36">
        <v>65756</v>
      </c>
      <c r="MG8" s="36">
        <v>62324.510638</v>
      </c>
      <c r="MH8" s="33">
        <v>69187.489361999993</v>
      </c>
      <c r="MI8" s="42">
        <v>37.255375694999998</v>
      </c>
      <c r="MJ8" s="33">
        <v>77.183017930999995</v>
      </c>
      <c r="MK8" s="33">
        <v>27.734651652</v>
      </c>
      <c r="ML8" s="42">
        <v>25.575577968000001</v>
      </c>
      <c r="MM8" s="36">
        <v>34</v>
      </c>
      <c r="MN8" s="33">
        <v>11.859086153</v>
      </c>
      <c r="MO8" s="36"/>
      <c r="MP8" s="36"/>
      <c r="MQ8" s="36"/>
      <c r="MR8" s="36"/>
      <c r="MS8" s="36"/>
      <c r="MT8" s="36"/>
      <c r="MU8" s="36"/>
      <c r="MV8" s="36"/>
      <c r="MW8" s="36"/>
      <c r="MX8" s="36"/>
      <c r="MY8" s="36"/>
      <c r="MZ8" s="36"/>
      <c r="NA8" s="36"/>
      <c r="NB8" s="36"/>
      <c r="NC8" s="36"/>
      <c r="ND8" s="36"/>
      <c r="NE8" s="36"/>
      <c r="NF8" s="33"/>
      <c r="NG8" s="37">
        <v>49</v>
      </c>
      <c r="NH8" s="36">
        <v>20.051203907000001</v>
      </c>
      <c r="NI8" s="36">
        <v>14.680001352</v>
      </c>
      <c r="NJ8" s="36">
        <v>26.745496102000001</v>
      </c>
      <c r="NK8" s="36">
        <v>19.882490424</v>
      </c>
      <c r="NL8" s="36"/>
      <c r="NM8" s="36"/>
      <c r="NN8" s="36"/>
      <c r="NO8" s="36"/>
      <c r="NP8" s="36"/>
      <c r="NQ8" s="36"/>
      <c r="NR8" s="36"/>
      <c r="NS8" s="36"/>
      <c r="NT8" s="36"/>
      <c r="NU8" s="36"/>
      <c r="NV8" s="36"/>
      <c r="NW8" s="36"/>
      <c r="NX8" s="36"/>
      <c r="NY8" s="36"/>
      <c r="NZ8" s="33"/>
      <c r="OA8" s="37">
        <v>29</v>
      </c>
      <c r="OB8" s="36">
        <v>11.76718821</v>
      </c>
      <c r="OC8" s="36">
        <v>7.8806706232000003</v>
      </c>
      <c r="OD8" s="36">
        <v>16.899645133</v>
      </c>
      <c r="OE8" s="36"/>
      <c r="OF8" s="36"/>
      <c r="OG8" s="36"/>
      <c r="OH8" s="36"/>
      <c r="OI8" s="36"/>
      <c r="OJ8" s="36"/>
      <c r="OK8" s="36"/>
      <c r="OL8" s="36"/>
      <c r="OM8" s="36"/>
      <c r="ON8" s="36"/>
      <c r="OO8" s="36"/>
      <c r="OP8" s="36"/>
      <c r="OQ8" s="36"/>
      <c r="OR8" s="36"/>
      <c r="OS8" s="33"/>
      <c r="OT8" s="43"/>
      <c r="OU8" s="44">
        <v>129</v>
      </c>
      <c r="OV8" s="36">
        <v>4900</v>
      </c>
      <c r="OW8" s="36">
        <v>26.326530611999999</v>
      </c>
      <c r="OX8" s="33">
        <v>91.601023975999993</v>
      </c>
      <c r="OY8" s="36">
        <v>14762</v>
      </c>
      <c r="OZ8" s="36">
        <v>77.511157784000005</v>
      </c>
      <c r="PA8" s="36">
        <v>75.299366657999997</v>
      </c>
      <c r="PB8" s="33">
        <v>79.72294891</v>
      </c>
      <c r="PC8" s="37">
        <v>2541</v>
      </c>
      <c r="PD8" s="36">
        <v>13.709938491000001</v>
      </c>
      <c r="PE8" s="36">
        <v>11.404132157999999</v>
      </c>
      <c r="PF8" s="33">
        <v>16.015744824999999</v>
      </c>
      <c r="PG8" s="45">
        <v>82.257810449000004</v>
      </c>
      <c r="PH8" s="36">
        <v>15666</v>
      </c>
      <c r="PI8" s="36">
        <v>79.634328737999994</v>
      </c>
      <c r="PJ8" s="33">
        <v>84.881292160000001</v>
      </c>
      <c r="PK8" s="33">
        <v>49685</v>
      </c>
      <c r="PL8" s="33">
        <f t="shared" si="3"/>
        <v>10886</v>
      </c>
      <c r="PM8" s="35">
        <v>21.910033209000002</v>
      </c>
      <c r="PN8" s="33">
        <f t="shared" si="4"/>
        <v>8501</v>
      </c>
      <c r="PO8" s="35">
        <v>17.109791688000001</v>
      </c>
      <c r="PP8" s="36">
        <v>347</v>
      </c>
      <c r="PQ8" s="35">
        <v>0.69839991950000002</v>
      </c>
      <c r="PR8" s="36">
        <v>503</v>
      </c>
      <c r="PS8" s="35">
        <v>1.0123779813</v>
      </c>
      <c r="PT8" s="36">
        <v>458</v>
      </c>
      <c r="PU8" s="35">
        <v>0.92180738650000005</v>
      </c>
      <c r="PV8" s="36">
        <v>16</v>
      </c>
      <c r="PW8" s="35">
        <v>3.2202878099999999E-2</v>
      </c>
      <c r="PX8" s="36">
        <v>889</v>
      </c>
      <c r="PY8" s="35">
        <v>1.7892724162</v>
      </c>
      <c r="PZ8" s="36">
        <v>46357</v>
      </c>
      <c r="QA8" s="35">
        <v>93.301801347999998</v>
      </c>
      <c r="QB8" s="36">
        <v>153</v>
      </c>
      <c r="QC8" s="36">
        <v>0.32968453710000001</v>
      </c>
      <c r="QD8" s="36">
        <v>4.1664858200000002E-2</v>
      </c>
      <c r="QE8" s="33">
        <v>0.61770421610000004</v>
      </c>
      <c r="QF8" s="35">
        <v>50.248565966000001</v>
      </c>
      <c r="QG8" s="38">
        <v>34241</v>
      </c>
      <c r="QH8" s="35">
        <v>71.714908054999995</v>
      </c>
    </row>
    <row r="9" spans="1:450" x14ac:dyDescent="0.25">
      <c r="A9">
        <v>50</v>
      </c>
      <c r="B9" t="s">
        <v>501</v>
      </c>
      <c r="C9" t="s">
        <v>502</v>
      </c>
      <c r="D9">
        <v>50013</v>
      </c>
      <c r="E9" t="s">
        <v>522</v>
      </c>
      <c r="F9">
        <v>50013</v>
      </c>
      <c r="G9" t="s">
        <v>523</v>
      </c>
      <c r="H9">
        <v>81.769365732744006</v>
      </c>
      <c r="I9">
        <v>7075</v>
      </c>
      <c r="J9">
        <v>0</v>
      </c>
      <c r="K9">
        <v>5322</v>
      </c>
      <c r="L9">
        <v>40</v>
      </c>
      <c r="M9">
        <v>2976</v>
      </c>
      <c r="N9">
        <v>153</v>
      </c>
      <c r="O9" s="8">
        <v>831</v>
      </c>
      <c r="P9">
        <v>156</v>
      </c>
      <c r="Q9" s="9">
        <v>171</v>
      </c>
      <c r="R9">
        <v>66</v>
      </c>
      <c r="S9" s="10">
        <v>787</v>
      </c>
      <c r="T9">
        <v>135</v>
      </c>
      <c r="U9" s="11">
        <v>327</v>
      </c>
      <c r="V9">
        <v>65</v>
      </c>
      <c r="W9" s="12">
        <v>240</v>
      </c>
      <c r="X9">
        <v>83</v>
      </c>
      <c r="Y9" s="13">
        <v>1464</v>
      </c>
      <c r="Z9">
        <v>44</v>
      </c>
      <c r="AA9" s="14">
        <v>1218</v>
      </c>
      <c r="AB9">
        <v>28</v>
      </c>
      <c r="AC9" s="8">
        <v>789</v>
      </c>
      <c r="AD9">
        <v>121</v>
      </c>
      <c r="AE9" s="9">
        <v>91</v>
      </c>
      <c r="AF9">
        <v>39</v>
      </c>
      <c r="AG9" s="10">
        <v>12</v>
      </c>
      <c r="AH9">
        <v>56</v>
      </c>
      <c r="AI9" s="11">
        <v>558</v>
      </c>
      <c r="AJ9">
        <v>138</v>
      </c>
      <c r="AK9" s="12">
        <v>15</v>
      </c>
      <c r="AL9">
        <v>8</v>
      </c>
      <c r="AM9" s="13">
        <v>524</v>
      </c>
      <c r="AN9">
        <v>92</v>
      </c>
      <c r="AO9" s="14">
        <v>5</v>
      </c>
      <c r="AP9">
        <v>5</v>
      </c>
      <c r="AQ9" s="8">
        <v>65</v>
      </c>
      <c r="AR9">
        <v>34</v>
      </c>
      <c r="AS9" s="9">
        <v>0</v>
      </c>
      <c r="AT9">
        <v>14</v>
      </c>
      <c r="AU9">
        <v>11.8</v>
      </c>
      <c r="AV9">
        <v>2.2000000000000002</v>
      </c>
      <c r="AW9">
        <v>4.5999999999999996</v>
      </c>
      <c r="AX9">
        <v>1.7</v>
      </c>
      <c r="AY9">
        <v>26.4</v>
      </c>
      <c r="AZ9">
        <v>4.3</v>
      </c>
      <c r="BA9">
        <v>6.1</v>
      </c>
      <c r="BB9">
        <v>1.2</v>
      </c>
      <c r="BC9">
        <v>3.4</v>
      </c>
      <c r="BD9">
        <v>1.2</v>
      </c>
      <c r="BE9">
        <v>20.7</v>
      </c>
      <c r="BF9">
        <v>0.6</v>
      </c>
      <c r="BG9">
        <v>17.2</v>
      </c>
      <c r="BH9">
        <v>0.4</v>
      </c>
      <c r="BI9">
        <v>11.2</v>
      </c>
      <c r="BJ9">
        <v>1.7</v>
      </c>
      <c r="BK9">
        <v>3.1</v>
      </c>
      <c r="BL9">
        <v>1.3</v>
      </c>
      <c r="BM9">
        <v>0.2</v>
      </c>
      <c r="BN9">
        <v>0.8</v>
      </c>
      <c r="BO9">
        <v>7.9</v>
      </c>
      <c r="BP9">
        <v>2</v>
      </c>
      <c r="BQ9">
        <v>0.3</v>
      </c>
      <c r="BR9">
        <v>0.2</v>
      </c>
      <c r="BS9">
        <v>9.8000000000000007</v>
      </c>
      <c r="BT9">
        <v>1.7</v>
      </c>
      <c r="BU9">
        <v>0.2</v>
      </c>
      <c r="BV9">
        <v>0.2</v>
      </c>
      <c r="BW9">
        <v>2.2000000000000002</v>
      </c>
      <c r="BX9">
        <v>1.1000000000000001</v>
      </c>
      <c r="BY9">
        <v>0</v>
      </c>
      <c r="BZ9">
        <v>0.2</v>
      </c>
      <c r="CA9">
        <v>0</v>
      </c>
      <c r="CB9">
        <v>0.92310000000000003</v>
      </c>
      <c r="CC9">
        <v>0</v>
      </c>
      <c r="CD9">
        <v>0.30769999999999997</v>
      </c>
      <c r="CE9">
        <v>0.23080000000000001</v>
      </c>
      <c r="CF9">
        <v>1.4616</v>
      </c>
      <c r="CG9">
        <v>0</v>
      </c>
      <c r="CH9">
        <v>0.3846</v>
      </c>
      <c r="CI9">
        <v>7.6899999999999996E-2</v>
      </c>
      <c r="CJ9">
        <v>0</v>
      </c>
      <c r="CK9">
        <v>0</v>
      </c>
      <c r="CL9">
        <v>0.23080000000000001</v>
      </c>
      <c r="CM9">
        <v>0.69230000000000003</v>
      </c>
      <c r="CN9">
        <v>0</v>
      </c>
      <c r="CO9">
        <v>0.92310000000000003</v>
      </c>
      <c r="CP9">
        <v>0.92310000000000003</v>
      </c>
      <c r="CQ9">
        <v>0.92310000000000003</v>
      </c>
      <c r="CR9">
        <v>0</v>
      </c>
      <c r="CS9">
        <v>0.84619999999999995</v>
      </c>
      <c r="CT9">
        <v>0</v>
      </c>
      <c r="CU9">
        <v>0</v>
      </c>
      <c r="CV9">
        <v>0</v>
      </c>
      <c r="CW9">
        <v>0.84619999999999995</v>
      </c>
      <c r="CX9">
        <v>0</v>
      </c>
      <c r="CY9">
        <v>3.9232</v>
      </c>
      <c r="CZ9">
        <v>0</v>
      </c>
      <c r="DA9">
        <v>0</v>
      </c>
      <c r="DB9">
        <v>1</v>
      </c>
      <c r="DC9">
        <v>0</v>
      </c>
      <c r="DD9">
        <v>0</v>
      </c>
      <c r="DE9">
        <v>0</v>
      </c>
      <c r="DF9">
        <v>1</v>
      </c>
      <c r="DG9">
        <v>0</v>
      </c>
      <c r="DH9">
        <v>0</v>
      </c>
      <c r="DI9">
        <v>0</v>
      </c>
      <c r="DJ9">
        <v>0</v>
      </c>
      <c r="DK9">
        <v>0</v>
      </c>
      <c r="DL9">
        <v>0</v>
      </c>
      <c r="DM9">
        <v>1</v>
      </c>
      <c r="DN9">
        <v>1</v>
      </c>
      <c r="DO9">
        <v>0</v>
      </c>
      <c r="DP9">
        <v>0</v>
      </c>
      <c r="DQ9">
        <v>0</v>
      </c>
      <c r="DR9">
        <v>0</v>
      </c>
      <c r="DS9">
        <v>0</v>
      </c>
      <c r="DT9">
        <v>0</v>
      </c>
      <c r="DU9">
        <v>2</v>
      </c>
      <c r="DV9">
        <v>3886</v>
      </c>
      <c r="DW9">
        <v>572</v>
      </c>
      <c r="DX9">
        <v>108</v>
      </c>
      <c r="DY9" s="8">
        <v>63</v>
      </c>
      <c r="DZ9">
        <v>28</v>
      </c>
      <c r="EA9" s="9">
        <v>144</v>
      </c>
      <c r="EB9">
        <v>0</v>
      </c>
      <c r="EC9" s="10">
        <v>38</v>
      </c>
      <c r="ED9">
        <v>11</v>
      </c>
      <c r="EE9" s="11">
        <v>102</v>
      </c>
      <c r="EF9">
        <v>82</v>
      </c>
      <c r="EG9" s="12">
        <v>0</v>
      </c>
      <c r="EH9">
        <v>14</v>
      </c>
      <c r="EI9" s="13">
        <v>208</v>
      </c>
      <c r="EJ9">
        <v>88</v>
      </c>
      <c r="EK9" s="14">
        <v>3</v>
      </c>
      <c r="EL9">
        <v>3</v>
      </c>
      <c r="EM9">
        <v>8.1</v>
      </c>
      <c r="EN9">
        <v>0</v>
      </c>
      <c r="EO9">
        <v>0.9</v>
      </c>
      <c r="EP9">
        <v>0.4</v>
      </c>
      <c r="EQ9">
        <v>2</v>
      </c>
      <c r="ER9">
        <v>0</v>
      </c>
      <c r="ES9">
        <v>0.5</v>
      </c>
      <c r="ET9">
        <v>0.2</v>
      </c>
      <c r="EU9">
        <v>1.4</v>
      </c>
      <c r="EV9">
        <v>1.2</v>
      </c>
      <c r="EW9">
        <v>0</v>
      </c>
      <c r="EX9">
        <v>0.3</v>
      </c>
      <c r="EY9">
        <v>2.9</v>
      </c>
      <c r="EZ9">
        <v>1.3</v>
      </c>
      <c r="FA9">
        <v>0</v>
      </c>
      <c r="FB9">
        <v>0.1</v>
      </c>
      <c r="FC9" s="32"/>
      <c r="FD9" s="33"/>
      <c r="FE9" s="34">
        <v>80.490815904000002</v>
      </c>
      <c r="FF9" s="34">
        <v>78.220194332000005</v>
      </c>
      <c r="FG9" s="34">
        <v>82.761437475999998</v>
      </c>
      <c r="FH9" s="34"/>
      <c r="FI9" s="34"/>
      <c r="FJ9" s="34"/>
      <c r="FK9" s="34"/>
      <c r="FL9" s="34"/>
      <c r="FM9" s="34"/>
      <c r="FN9" s="34"/>
      <c r="FO9" s="34"/>
      <c r="FP9" s="34"/>
      <c r="FQ9" s="34"/>
      <c r="FR9" s="34"/>
      <c r="FS9" s="34"/>
      <c r="FT9" s="34"/>
      <c r="FU9" s="34"/>
      <c r="FV9" s="35"/>
      <c r="FW9" s="36">
        <v>87</v>
      </c>
      <c r="FX9" s="36">
        <v>256.55374726999997</v>
      </c>
      <c r="FY9" s="36">
        <v>198.82563026</v>
      </c>
      <c r="FZ9" s="36">
        <v>325.81419016000001</v>
      </c>
      <c r="GA9" s="36"/>
      <c r="GB9" s="36"/>
      <c r="GC9" s="36"/>
      <c r="GD9" s="36"/>
      <c r="GE9" s="36"/>
      <c r="GF9" s="36"/>
      <c r="GG9" s="36"/>
      <c r="GH9" s="36"/>
      <c r="GI9" s="36"/>
      <c r="GJ9" s="36"/>
      <c r="GK9" s="36"/>
      <c r="GL9" s="36"/>
      <c r="GM9" s="36"/>
      <c r="GN9" s="36"/>
      <c r="GO9" s="33"/>
      <c r="GP9" s="36"/>
      <c r="GQ9" s="36"/>
      <c r="GR9" s="36"/>
      <c r="GS9" s="36"/>
      <c r="GT9" s="36"/>
      <c r="GU9" s="36"/>
      <c r="GV9" s="36"/>
      <c r="GW9" s="36"/>
      <c r="GX9" s="36"/>
      <c r="GY9" s="36"/>
      <c r="GZ9" s="36"/>
      <c r="HA9" s="36"/>
      <c r="HB9" s="36"/>
      <c r="HC9" s="36"/>
      <c r="HD9" s="36"/>
      <c r="HE9" s="36"/>
      <c r="HF9" s="36"/>
      <c r="HG9" s="36"/>
      <c r="HH9" s="33"/>
      <c r="HI9" s="36"/>
      <c r="HJ9" s="36"/>
      <c r="HK9" s="36"/>
      <c r="HL9" s="36"/>
      <c r="HM9" s="36"/>
      <c r="HN9" s="36"/>
      <c r="HO9" s="36"/>
      <c r="HP9" s="36"/>
      <c r="HQ9" s="36"/>
      <c r="HR9" s="36"/>
      <c r="HS9" s="36"/>
      <c r="HT9" s="36"/>
      <c r="HU9" s="36"/>
      <c r="HV9" s="36"/>
      <c r="HW9" s="36"/>
      <c r="HX9" s="36"/>
      <c r="HY9" s="36"/>
      <c r="HZ9" s="36"/>
      <c r="IA9" s="33"/>
      <c r="IB9" s="37">
        <f t="shared" si="5"/>
        <v>738</v>
      </c>
      <c r="IC9" s="38">
        <v>10.3</v>
      </c>
      <c r="ID9" s="36">
        <v>9.1</v>
      </c>
      <c r="IE9" s="33">
        <v>11.5</v>
      </c>
      <c r="IF9" s="37">
        <f t="shared" si="0"/>
        <v>939</v>
      </c>
      <c r="IG9" s="38">
        <v>13.1</v>
      </c>
      <c r="IH9" s="36">
        <v>11.6</v>
      </c>
      <c r="II9" s="33">
        <v>14.7</v>
      </c>
      <c r="IJ9" s="37">
        <f t="shared" si="1"/>
        <v>487</v>
      </c>
      <c r="IK9" s="38">
        <v>6.8</v>
      </c>
      <c r="IL9" s="36">
        <v>6.2</v>
      </c>
      <c r="IM9" s="33">
        <v>7.4</v>
      </c>
      <c r="IN9" s="37"/>
      <c r="IO9" s="33"/>
      <c r="IP9" s="37">
        <v>550</v>
      </c>
      <c r="IQ9" s="33">
        <v>7.9</v>
      </c>
      <c r="IR9" s="37">
        <v>31.002810619000002</v>
      </c>
      <c r="IS9" s="33">
        <v>0.4448035957</v>
      </c>
      <c r="IT9" s="37"/>
      <c r="IU9" s="36"/>
      <c r="IV9" s="36"/>
      <c r="IW9" s="36"/>
      <c r="IX9" s="36"/>
      <c r="IY9" s="36"/>
      <c r="IZ9" s="36"/>
      <c r="JA9" s="36"/>
      <c r="JB9" s="36"/>
      <c r="JC9" s="36"/>
      <c r="JD9" s="36"/>
      <c r="JE9" s="36"/>
      <c r="JF9" s="36"/>
      <c r="JG9" s="36"/>
      <c r="JH9" s="36"/>
      <c r="JI9" s="36"/>
      <c r="JJ9" s="36"/>
      <c r="JK9" s="36"/>
      <c r="JL9" s="33"/>
      <c r="JM9" s="36"/>
      <c r="JN9" s="36"/>
      <c r="JO9" s="36"/>
      <c r="JP9" s="36"/>
      <c r="JQ9" s="36"/>
      <c r="JR9" s="36"/>
      <c r="JS9" s="36"/>
      <c r="JT9" s="36"/>
      <c r="JU9" s="36"/>
      <c r="JV9" s="36"/>
      <c r="JW9" s="36"/>
      <c r="JX9" s="36"/>
      <c r="JY9" s="36"/>
      <c r="JZ9" s="36"/>
      <c r="KA9" s="36"/>
      <c r="KB9" s="36"/>
      <c r="KC9" s="36"/>
      <c r="KD9" s="36"/>
      <c r="KE9" s="33"/>
      <c r="KF9" s="37">
        <f t="shared" si="2"/>
        <v>2219</v>
      </c>
      <c r="KG9" s="38">
        <v>30.958953364999999</v>
      </c>
      <c r="KH9" s="36">
        <v>29.179059189</v>
      </c>
      <c r="KI9" s="33">
        <v>32.719897013000001</v>
      </c>
      <c r="KJ9" s="37">
        <v>277</v>
      </c>
      <c r="KK9" s="36">
        <v>6.3112326269999999</v>
      </c>
      <c r="KL9" s="36">
        <v>5.1197432653000003</v>
      </c>
      <c r="KM9" s="33">
        <v>7.5027219887000003</v>
      </c>
      <c r="KN9" s="37">
        <v>27</v>
      </c>
      <c r="KO9" s="36">
        <v>1.9985196151</v>
      </c>
      <c r="KP9" s="36">
        <v>1.2836259981</v>
      </c>
      <c r="KQ9" s="33">
        <v>2.7134132321000002</v>
      </c>
      <c r="KR9" s="36">
        <v>27.89789</v>
      </c>
      <c r="KS9" s="39" t="s">
        <v>524</v>
      </c>
      <c r="KT9" s="36"/>
      <c r="KU9" s="33"/>
      <c r="KV9" s="36"/>
      <c r="KW9" s="36"/>
      <c r="KX9" s="33"/>
      <c r="KY9" s="34"/>
      <c r="KZ9" s="34"/>
      <c r="LA9" s="34"/>
      <c r="LB9" s="34"/>
      <c r="LC9" s="35"/>
      <c r="LD9" s="34"/>
      <c r="LE9" s="34"/>
      <c r="LF9" s="34"/>
      <c r="LG9" s="34"/>
      <c r="LH9" s="35"/>
      <c r="LI9" s="40"/>
      <c r="LJ9" s="36"/>
      <c r="LK9" s="33"/>
      <c r="LL9" s="36">
        <v>46667</v>
      </c>
      <c r="LM9" s="36">
        <v>58675</v>
      </c>
      <c r="LN9" s="41">
        <v>0.79534725179999999</v>
      </c>
      <c r="LO9" s="41">
        <v>0.66095900190000001</v>
      </c>
      <c r="LP9" s="40">
        <v>0.92973550179999997</v>
      </c>
      <c r="LQ9" s="36">
        <v>79994</v>
      </c>
      <c r="LR9" s="36">
        <v>69616.127659999998</v>
      </c>
      <c r="LS9" s="36">
        <v>90371.872340000002</v>
      </c>
      <c r="LT9" s="36">
        <v>41266</v>
      </c>
      <c r="LU9" s="36">
        <v>40856.127659999998</v>
      </c>
      <c r="LV9" s="36">
        <v>41675.872340000002</v>
      </c>
      <c r="LW9" s="36"/>
      <c r="LX9" s="36"/>
      <c r="LY9" s="36"/>
      <c r="LZ9" s="36"/>
      <c r="MA9" s="36"/>
      <c r="MB9" s="36"/>
      <c r="MC9" s="36">
        <v>111250</v>
      </c>
      <c r="MD9" s="36">
        <v>55514.510638</v>
      </c>
      <c r="ME9" s="36">
        <v>166985.48936000001</v>
      </c>
      <c r="MF9" s="36">
        <v>83906</v>
      </c>
      <c r="MG9" s="36">
        <v>74853.063829999999</v>
      </c>
      <c r="MH9" s="33">
        <v>92958.936170000001</v>
      </c>
      <c r="MI9" s="42">
        <v>38.087520259000001</v>
      </c>
      <c r="MJ9" s="33"/>
      <c r="MK9" s="33">
        <v>10.338095301999999</v>
      </c>
      <c r="ML9" s="42">
        <v>18.518888917000002</v>
      </c>
      <c r="MM9" s="36">
        <v>8</v>
      </c>
      <c r="MN9" s="33">
        <v>27.118644067999998</v>
      </c>
      <c r="MO9" s="36"/>
      <c r="MP9" s="36"/>
      <c r="MQ9" s="36"/>
      <c r="MR9" s="36"/>
      <c r="MS9" s="36"/>
      <c r="MT9" s="36"/>
      <c r="MU9" s="36"/>
      <c r="MV9" s="36"/>
      <c r="MW9" s="36"/>
      <c r="MX9" s="36"/>
      <c r="MY9" s="36"/>
      <c r="MZ9" s="36"/>
      <c r="NA9" s="36"/>
      <c r="NB9" s="36"/>
      <c r="NC9" s="36"/>
      <c r="ND9" s="36"/>
      <c r="NE9" s="36"/>
      <c r="NF9" s="33"/>
      <c r="NG9" s="37"/>
      <c r="NH9" s="36"/>
      <c r="NI9" s="36"/>
      <c r="NJ9" s="36"/>
      <c r="NK9" s="36"/>
      <c r="NL9" s="36"/>
      <c r="NM9" s="36"/>
      <c r="NN9" s="36"/>
      <c r="NO9" s="36"/>
      <c r="NP9" s="36"/>
      <c r="NQ9" s="36"/>
      <c r="NR9" s="36"/>
      <c r="NS9" s="36"/>
      <c r="NT9" s="36"/>
      <c r="NU9" s="36"/>
      <c r="NV9" s="36"/>
      <c r="NW9" s="36"/>
      <c r="NX9" s="36"/>
      <c r="NY9" s="36"/>
      <c r="NZ9" s="33"/>
      <c r="OA9" s="37"/>
      <c r="OB9" s="36"/>
      <c r="OC9" s="36"/>
      <c r="OD9" s="36"/>
      <c r="OE9" s="36"/>
      <c r="OF9" s="36"/>
      <c r="OG9" s="36"/>
      <c r="OH9" s="36"/>
      <c r="OI9" s="36"/>
      <c r="OJ9" s="36"/>
      <c r="OK9" s="36"/>
      <c r="OL9" s="36"/>
      <c r="OM9" s="36"/>
      <c r="ON9" s="36"/>
      <c r="OO9" s="36"/>
      <c r="OP9" s="36"/>
      <c r="OQ9" s="36"/>
      <c r="OR9" s="36"/>
      <c r="OS9" s="33"/>
      <c r="OT9" s="43"/>
      <c r="OU9" s="44">
        <v>8</v>
      </c>
      <c r="OV9" s="36">
        <v>600</v>
      </c>
      <c r="OW9" s="36">
        <v>13.333333333000001</v>
      </c>
      <c r="OX9" s="33">
        <v>19.37184851</v>
      </c>
      <c r="OY9" s="36">
        <v>2557</v>
      </c>
      <c r="OZ9" s="36">
        <v>85.920698924999996</v>
      </c>
      <c r="PA9" s="36">
        <v>83.377628035000001</v>
      </c>
      <c r="PB9" s="33">
        <v>88.463769815000006</v>
      </c>
      <c r="PC9" s="37">
        <v>448</v>
      </c>
      <c r="PD9" s="36">
        <v>15.295322636</v>
      </c>
      <c r="PE9" s="36">
        <v>10.802385286</v>
      </c>
      <c r="PF9" s="33">
        <v>19.788259985</v>
      </c>
      <c r="PG9" s="45">
        <v>87.197580645000002</v>
      </c>
      <c r="PH9" s="36">
        <v>2595</v>
      </c>
      <c r="PI9" s="36">
        <v>84.632374838000004</v>
      </c>
      <c r="PJ9" s="33">
        <v>89.762786453000004</v>
      </c>
      <c r="PK9" s="33">
        <v>7169</v>
      </c>
      <c r="PL9" s="33">
        <f t="shared" si="3"/>
        <v>1246</v>
      </c>
      <c r="PM9" s="35">
        <v>17.380387781</v>
      </c>
      <c r="PN9" s="33">
        <f t="shared" si="4"/>
        <v>1594</v>
      </c>
      <c r="PO9" s="35">
        <v>22.234621285999999</v>
      </c>
      <c r="PP9" s="36">
        <v>63</v>
      </c>
      <c r="PQ9" s="35">
        <v>0.87878365179999995</v>
      </c>
      <c r="PR9" s="36">
        <v>96</v>
      </c>
      <c r="PS9" s="35">
        <v>1.339098898</v>
      </c>
      <c r="PT9" s="36">
        <v>51</v>
      </c>
      <c r="PU9" s="35">
        <v>0.71139628960000001</v>
      </c>
      <c r="PV9" s="36">
        <v>4</v>
      </c>
      <c r="PW9" s="35">
        <v>5.5795787399999998E-2</v>
      </c>
      <c r="PX9" s="36">
        <v>141</v>
      </c>
      <c r="PY9" s="35">
        <v>1.9668015065</v>
      </c>
      <c r="PZ9" s="36">
        <v>6622</v>
      </c>
      <c r="QA9" s="35">
        <v>92.369926070999995</v>
      </c>
      <c r="QB9" s="36">
        <v>12</v>
      </c>
      <c r="QC9" s="36">
        <v>0.17699115039999999</v>
      </c>
      <c r="QD9" s="36">
        <v>0</v>
      </c>
      <c r="QE9" s="33">
        <v>1.1755978621000001</v>
      </c>
      <c r="QF9" s="35">
        <v>49.225833450000003</v>
      </c>
      <c r="QG9" s="38">
        <v>6970</v>
      </c>
      <c r="QH9" s="35">
        <v>100</v>
      </c>
    </row>
    <row r="10" spans="1:450" x14ac:dyDescent="0.25">
      <c r="A10">
        <v>50</v>
      </c>
      <c r="B10" t="s">
        <v>501</v>
      </c>
      <c r="C10" t="s">
        <v>502</v>
      </c>
      <c r="D10">
        <v>50015</v>
      </c>
      <c r="E10" t="s">
        <v>525</v>
      </c>
      <c r="F10">
        <v>50015</v>
      </c>
      <c r="G10" t="s">
        <v>526</v>
      </c>
      <c r="H10">
        <v>462.25322873551602</v>
      </c>
      <c r="I10">
        <v>25376</v>
      </c>
      <c r="J10">
        <v>0</v>
      </c>
      <c r="K10">
        <v>13817</v>
      </c>
      <c r="L10">
        <v>95</v>
      </c>
      <c r="M10">
        <v>10770</v>
      </c>
      <c r="N10">
        <v>365</v>
      </c>
      <c r="O10" s="8">
        <v>4704</v>
      </c>
      <c r="P10">
        <v>602</v>
      </c>
      <c r="Q10" s="9">
        <v>530</v>
      </c>
      <c r="R10">
        <v>132</v>
      </c>
      <c r="S10" s="10">
        <v>2857</v>
      </c>
      <c r="T10">
        <v>359</v>
      </c>
      <c r="U10" s="11">
        <v>1336</v>
      </c>
      <c r="V10">
        <v>273</v>
      </c>
      <c r="W10" s="12">
        <v>1462</v>
      </c>
      <c r="X10">
        <v>254</v>
      </c>
      <c r="Y10" s="13">
        <v>4347</v>
      </c>
      <c r="Z10">
        <v>63</v>
      </c>
      <c r="AA10" s="14">
        <v>5175</v>
      </c>
      <c r="AB10">
        <v>0</v>
      </c>
      <c r="AC10" s="8">
        <v>3405</v>
      </c>
      <c r="AD10">
        <v>372</v>
      </c>
      <c r="AE10" s="9">
        <v>557</v>
      </c>
      <c r="AF10">
        <v>166</v>
      </c>
      <c r="AG10" s="10">
        <v>76</v>
      </c>
      <c r="AH10">
        <v>82</v>
      </c>
      <c r="AI10" s="11">
        <v>1464</v>
      </c>
      <c r="AJ10">
        <v>203</v>
      </c>
      <c r="AK10" s="12">
        <v>236</v>
      </c>
      <c r="AL10">
        <v>88</v>
      </c>
      <c r="AM10" s="13">
        <v>1164</v>
      </c>
      <c r="AN10">
        <v>228</v>
      </c>
      <c r="AO10" s="14">
        <v>182</v>
      </c>
      <c r="AP10">
        <v>88</v>
      </c>
      <c r="AQ10" s="8">
        <v>632</v>
      </c>
      <c r="AR10">
        <v>171</v>
      </c>
      <c r="AS10" s="9">
        <v>647</v>
      </c>
      <c r="AT10">
        <v>194</v>
      </c>
      <c r="AU10">
        <v>19</v>
      </c>
      <c r="AV10">
        <v>2.4</v>
      </c>
      <c r="AW10">
        <v>3.7</v>
      </c>
      <c r="AX10">
        <v>0.9</v>
      </c>
      <c r="AY10">
        <v>26.5</v>
      </c>
      <c r="AZ10">
        <v>3.2</v>
      </c>
      <c r="BA10">
        <v>7.5</v>
      </c>
      <c r="BB10">
        <v>1.5</v>
      </c>
      <c r="BC10">
        <v>5.8</v>
      </c>
      <c r="BD10">
        <v>1</v>
      </c>
      <c r="BE10">
        <v>17.100000000000001</v>
      </c>
      <c r="BF10">
        <v>0.2</v>
      </c>
      <c r="BG10">
        <v>20.399999999999999</v>
      </c>
      <c r="BH10">
        <v>0</v>
      </c>
      <c r="BI10">
        <v>13.5</v>
      </c>
      <c r="BJ10">
        <v>1.5</v>
      </c>
      <c r="BK10">
        <v>5.2</v>
      </c>
      <c r="BL10">
        <v>1.5</v>
      </c>
      <c r="BM10">
        <v>0.3</v>
      </c>
      <c r="BN10">
        <v>0.3</v>
      </c>
      <c r="BO10">
        <v>5.8</v>
      </c>
      <c r="BP10">
        <v>0.8</v>
      </c>
      <c r="BQ10">
        <v>1.7</v>
      </c>
      <c r="BR10">
        <v>0.6</v>
      </c>
      <c r="BS10">
        <v>8.4</v>
      </c>
      <c r="BT10">
        <v>1.6</v>
      </c>
      <c r="BU10">
        <v>1.7</v>
      </c>
      <c r="BV10">
        <v>0.8</v>
      </c>
      <c r="BW10">
        <v>5.9</v>
      </c>
      <c r="BX10">
        <v>1.6</v>
      </c>
      <c r="BY10">
        <v>2.5</v>
      </c>
      <c r="BZ10">
        <v>0.8</v>
      </c>
      <c r="CA10">
        <v>0.61539999999999995</v>
      </c>
      <c r="CB10">
        <v>0.30769999999999997</v>
      </c>
      <c r="CC10">
        <v>0.15379999999999999</v>
      </c>
      <c r="CD10">
        <v>0.76919999999999999</v>
      </c>
      <c r="CE10">
        <v>1</v>
      </c>
      <c r="CF10">
        <v>2.8460999999999999</v>
      </c>
      <c r="CG10">
        <v>0.76919999999999999</v>
      </c>
      <c r="CH10">
        <v>0.15379999999999999</v>
      </c>
      <c r="CI10">
        <v>0.92310000000000003</v>
      </c>
      <c r="CJ10">
        <v>0.30769999999999997</v>
      </c>
      <c r="CK10">
        <v>0.61539999999999995</v>
      </c>
      <c r="CL10">
        <v>0.53849999999999998</v>
      </c>
      <c r="CM10">
        <v>2.5385</v>
      </c>
      <c r="CN10">
        <v>0.61539999999999995</v>
      </c>
      <c r="CO10">
        <v>0.3846</v>
      </c>
      <c r="CP10">
        <v>0.3846</v>
      </c>
      <c r="CQ10">
        <v>0.3846</v>
      </c>
      <c r="CR10">
        <v>0.30769999999999997</v>
      </c>
      <c r="CS10">
        <v>0.61539999999999995</v>
      </c>
      <c r="CT10">
        <v>0.69230000000000003</v>
      </c>
      <c r="CU10">
        <v>0.46150000000000002</v>
      </c>
      <c r="CV10">
        <v>0.3846</v>
      </c>
      <c r="CW10">
        <v>2.4615</v>
      </c>
      <c r="CX10">
        <v>0.3846</v>
      </c>
      <c r="CY10">
        <v>8.2307000000000006</v>
      </c>
      <c r="CZ10">
        <v>0.53849999999999998</v>
      </c>
      <c r="DA10">
        <v>0</v>
      </c>
      <c r="DB10">
        <v>0</v>
      </c>
      <c r="DC10">
        <v>0</v>
      </c>
      <c r="DD10">
        <v>0</v>
      </c>
      <c r="DE10">
        <v>1</v>
      </c>
      <c r="DF10">
        <v>1</v>
      </c>
      <c r="DG10">
        <v>0</v>
      </c>
      <c r="DH10">
        <v>1</v>
      </c>
      <c r="DI10">
        <v>0</v>
      </c>
      <c r="DJ10">
        <v>0</v>
      </c>
      <c r="DK10">
        <v>0</v>
      </c>
      <c r="DL10">
        <v>1</v>
      </c>
      <c r="DM10">
        <v>0</v>
      </c>
      <c r="DN10">
        <v>0</v>
      </c>
      <c r="DO10">
        <v>0</v>
      </c>
      <c r="DP10">
        <v>0</v>
      </c>
      <c r="DQ10">
        <v>0</v>
      </c>
      <c r="DR10">
        <v>0</v>
      </c>
      <c r="DS10">
        <v>0</v>
      </c>
      <c r="DT10">
        <v>0</v>
      </c>
      <c r="DU10">
        <v>2</v>
      </c>
      <c r="DV10">
        <v>25122</v>
      </c>
      <c r="DW10">
        <v>2794</v>
      </c>
      <c r="DX10">
        <v>620</v>
      </c>
      <c r="DY10" s="8">
        <v>230</v>
      </c>
      <c r="DZ10">
        <v>76</v>
      </c>
      <c r="EA10" s="9">
        <v>481</v>
      </c>
      <c r="EB10">
        <v>0</v>
      </c>
      <c r="EC10" s="10">
        <v>66</v>
      </c>
      <c r="ED10">
        <v>56</v>
      </c>
      <c r="EE10" s="11">
        <v>155</v>
      </c>
      <c r="EF10">
        <v>47</v>
      </c>
      <c r="EG10" s="12">
        <v>0</v>
      </c>
      <c r="EH10">
        <v>18</v>
      </c>
      <c r="EI10" s="13">
        <v>530</v>
      </c>
      <c r="EJ10">
        <v>91</v>
      </c>
      <c r="EK10" s="14">
        <v>2</v>
      </c>
      <c r="EL10">
        <v>2</v>
      </c>
      <c r="EM10">
        <v>11.3</v>
      </c>
      <c r="EN10">
        <v>0.1</v>
      </c>
      <c r="EO10">
        <v>0.9</v>
      </c>
      <c r="EP10">
        <v>0.3</v>
      </c>
      <c r="EQ10">
        <v>1.9</v>
      </c>
      <c r="ER10">
        <v>0</v>
      </c>
      <c r="ES10">
        <v>0.3</v>
      </c>
      <c r="ET10">
        <v>0.2</v>
      </c>
      <c r="EU10">
        <v>0.6</v>
      </c>
      <c r="EV10">
        <v>0.2</v>
      </c>
      <c r="EW10">
        <v>0</v>
      </c>
      <c r="EX10">
        <v>0.1</v>
      </c>
      <c r="EY10">
        <v>2.1</v>
      </c>
      <c r="EZ10">
        <v>0.4</v>
      </c>
      <c r="FA10">
        <v>0</v>
      </c>
      <c r="FB10">
        <v>0.1</v>
      </c>
      <c r="FC10" s="32"/>
      <c r="FD10" s="33"/>
      <c r="FE10" s="34">
        <v>80.361833369999999</v>
      </c>
      <c r="FF10" s="34">
        <v>79.264964496999994</v>
      </c>
      <c r="FG10" s="34">
        <v>81.458702243000005</v>
      </c>
      <c r="FH10" s="34"/>
      <c r="FI10" s="34"/>
      <c r="FJ10" s="34"/>
      <c r="FK10" s="34"/>
      <c r="FL10" s="34"/>
      <c r="FM10" s="34"/>
      <c r="FN10" s="34"/>
      <c r="FO10" s="34"/>
      <c r="FP10" s="34"/>
      <c r="FQ10" s="34"/>
      <c r="FR10" s="34"/>
      <c r="FS10" s="34"/>
      <c r="FT10" s="34"/>
      <c r="FU10" s="34"/>
      <c r="FV10" s="35"/>
      <c r="FW10" s="36">
        <v>276</v>
      </c>
      <c r="FX10" s="36">
        <v>282.92640201</v>
      </c>
      <c r="FY10" s="36">
        <v>247.95532724</v>
      </c>
      <c r="FZ10" s="36">
        <v>317.89747677000003</v>
      </c>
      <c r="GA10" s="36"/>
      <c r="GB10" s="36"/>
      <c r="GC10" s="36"/>
      <c r="GD10" s="36"/>
      <c r="GE10" s="36"/>
      <c r="GF10" s="36"/>
      <c r="GG10" s="36"/>
      <c r="GH10" s="36"/>
      <c r="GI10" s="36"/>
      <c r="GJ10" s="36"/>
      <c r="GK10" s="36"/>
      <c r="GL10" s="36"/>
      <c r="GM10" s="36"/>
      <c r="GN10" s="36"/>
      <c r="GO10" s="33"/>
      <c r="GP10" s="36"/>
      <c r="GQ10" s="36"/>
      <c r="GR10" s="36"/>
      <c r="GS10" s="36"/>
      <c r="GT10" s="36"/>
      <c r="GU10" s="36"/>
      <c r="GV10" s="36"/>
      <c r="GW10" s="36"/>
      <c r="GX10" s="36"/>
      <c r="GY10" s="36"/>
      <c r="GZ10" s="36"/>
      <c r="HA10" s="36"/>
      <c r="HB10" s="36"/>
      <c r="HC10" s="36"/>
      <c r="HD10" s="36"/>
      <c r="HE10" s="36"/>
      <c r="HF10" s="36"/>
      <c r="HG10" s="36"/>
      <c r="HH10" s="33"/>
      <c r="HI10" s="36"/>
      <c r="HJ10" s="36"/>
      <c r="HK10" s="36"/>
      <c r="HL10" s="36"/>
      <c r="HM10" s="36"/>
      <c r="HN10" s="36"/>
      <c r="HO10" s="36"/>
      <c r="HP10" s="36"/>
      <c r="HQ10" s="36"/>
      <c r="HR10" s="36"/>
      <c r="HS10" s="36"/>
      <c r="HT10" s="36"/>
      <c r="HU10" s="36"/>
      <c r="HV10" s="36"/>
      <c r="HW10" s="36"/>
      <c r="HX10" s="36"/>
      <c r="HY10" s="36"/>
      <c r="HZ10" s="36"/>
      <c r="IA10" s="33"/>
      <c r="IB10" s="37">
        <f t="shared" si="5"/>
        <v>2838</v>
      </c>
      <c r="IC10" s="38">
        <v>11.2</v>
      </c>
      <c r="ID10" s="36">
        <v>9.8000000000000007</v>
      </c>
      <c r="IE10" s="33">
        <v>12.6</v>
      </c>
      <c r="IF10" s="37">
        <f t="shared" si="0"/>
        <v>3573</v>
      </c>
      <c r="IG10" s="38">
        <v>14.1</v>
      </c>
      <c r="IH10" s="36">
        <v>12.5</v>
      </c>
      <c r="II10" s="33">
        <v>15.8</v>
      </c>
      <c r="IJ10" s="37">
        <f t="shared" si="1"/>
        <v>1799</v>
      </c>
      <c r="IK10" s="38">
        <v>7.1</v>
      </c>
      <c r="IL10" s="36">
        <v>6.5</v>
      </c>
      <c r="IM10" s="33">
        <v>7.8</v>
      </c>
      <c r="IN10" s="37"/>
      <c r="IO10" s="33"/>
      <c r="IP10" s="37">
        <v>2700</v>
      </c>
      <c r="IQ10" s="33">
        <v>10.7</v>
      </c>
      <c r="IR10" s="37">
        <v>70.824184738</v>
      </c>
      <c r="IS10" s="33">
        <v>0.28937358419999998</v>
      </c>
      <c r="IT10" s="37">
        <v>13</v>
      </c>
      <c r="IU10" s="36">
        <v>17.104587977000001</v>
      </c>
      <c r="IV10" s="36">
        <v>9.1074727195000005</v>
      </c>
      <c r="IW10" s="36">
        <v>29.249366365</v>
      </c>
      <c r="IX10" s="36"/>
      <c r="IY10" s="36"/>
      <c r="IZ10" s="36"/>
      <c r="JA10" s="36"/>
      <c r="JB10" s="36"/>
      <c r="JC10" s="36"/>
      <c r="JD10" s="36"/>
      <c r="JE10" s="36"/>
      <c r="JF10" s="36"/>
      <c r="JG10" s="36"/>
      <c r="JH10" s="36"/>
      <c r="JI10" s="36"/>
      <c r="JJ10" s="36"/>
      <c r="JK10" s="36"/>
      <c r="JL10" s="33"/>
      <c r="JM10" s="36">
        <v>16</v>
      </c>
      <c r="JN10" s="36">
        <v>9.0400587603999991</v>
      </c>
      <c r="JO10" s="36">
        <v>5.1671746728999999</v>
      </c>
      <c r="JP10" s="36">
        <v>14.680489066</v>
      </c>
      <c r="JQ10" s="36"/>
      <c r="JR10" s="36"/>
      <c r="JS10" s="36"/>
      <c r="JT10" s="36"/>
      <c r="JU10" s="36"/>
      <c r="JV10" s="36"/>
      <c r="JW10" s="36"/>
      <c r="JX10" s="36"/>
      <c r="JY10" s="36"/>
      <c r="JZ10" s="36"/>
      <c r="KA10" s="36"/>
      <c r="KB10" s="36"/>
      <c r="KC10" s="36"/>
      <c r="KD10" s="36"/>
      <c r="KE10" s="33"/>
      <c r="KF10" s="37">
        <f t="shared" si="2"/>
        <v>8144</v>
      </c>
      <c r="KG10" s="38">
        <v>32.138401428999998</v>
      </c>
      <c r="KH10" s="36">
        <v>30.34519615</v>
      </c>
      <c r="KI10" s="33">
        <v>33.715973761999997</v>
      </c>
      <c r="KJ10" s="37">
        <v>1267</v>
      </c>
      <c r="KK10" s="36">
        <v>8.3558662534000003</v>
      </c>
      <c r="KL10" s="36">
        <v>6.8069300832000001</v>
      </c>
      <c r="KM10" s="33">
        <v>9.9048024235999996</v>
      </c>
      <c r="KN10" s="37">
        <v>136</v>
      </c>
      <c r="KO10" s="36">
        <v>2.5924513915</v>
      </c>
      <c r="KP10" s="36">
        <v>1.6392599022000001</v>
      </c>
      <c r="KQ10" s="33">
        <v>3.5456428809</v>
      </c>
      <c r="KR10" s="36">
        <v>110.49288000000001</v>
      </c>
      <c r="KS10" s="39" t="s">
        <v>527</v>
      </c>
      <c r="KT10" s="36">
        <v>262</v>
      </c>
      <c r="KU10" s="33">
        <v>92.385496183000001</v>
      </c>
      <c r="KV10" s="36"/>
      <c r="KW10" s="36"/>
      <c r="KX10" s="33"/>
      <c r="KY10" s="34"/>
      <c r="KZ10" s="34"/>
      <c r="LA10" s="34"/>
      <c r="LB10" s="34"/>
      <c r="LC10" s="35"/>
      <c r="LD10" s="34"/>
      <c r="LE10" s="34"/>
      <c r="LF10" s="34"/>
      <c r="LG10" s="34"/>
      <c r="LH10" s="35"/>
      <c r="LI10" s="40">
        <v>8.31438751E-2</v>
      </c>
      <c r="LJ10" s="36"/>
      <c r="LK10" s="33"/>
      <c r="LL10" s="36">
        <v>42309</v>
      </c>
      <c r="LM10" s="36">
        <v>45292</v>
      </c>
      <c r="LN10" s="41">
        <v>0.93413847920000004</v>
      </c>
      <c r="LO10" s="41">
        <v>0.8268976441</v>
      </c>
      <c r="LP10" s="40">
        <v>1.0413793143000001</v>
      </c>
      <c r="LQ10" s="36">
        <v>57909</v>
      </c>
      <c r="LR10" s="36">
        <v>49444.659573999998</v>
      </c>
      <c r="LS10" s="36">
        <v>66373.340425999995</v>
      </c>
      <c r="LT10" s="36"/>
      <c r="LU10" s="36"/>
      <c r="LV10" s="36"/>
      <c r="LW10" s="36"/>
      <c r="LX10" s="36"/>
      <c r="LY10" s="36"/>
      <c r="LZ10" s="36"/>
      <c r="MA10" s="36"/>
      <c r="MB10" s="36"/>
      <c r="MC10" s="36">
        <v>44484</v>
      </c>
      <c r="MD10" s="36">
        <v>11376.085106</v>
      </c>
      <c r="ME10" s="36">
        <v>77591.914894000001</v>
      </c>
      <c r="MF10" s="36">
        <v>64543</v>
      </c>
      <c r="MG10" s="36">
        <v>59511.340426000002</v>
      </c>
      <c r="MH10" s="33">
        <v>69574.659574000005</v>
      </c>
      <c r="MI10" s="42">
        <v>35.260586318999998</v>
      </c>
      <c r="MJ10" s="33"/>
      <c r="MK10" s="33">
        <v>27.440540574</v>
      </c>
      <c r="ML10" s="42">
        <v>28.435994404999999</v>
      </c>
      <c r="MM10" s="36">
        <v>28</v>
      </c>
      <c r="MN10" s="33">
        <v>22.064617809000001</v>
      </c>
      <c r="MO10" s="36"/>
      <c r="MP10" s="36"/>
      <c r="MQ10" s="36"/>
      <c r="MR10" s="36"/>
      <c r="MS10" s="36"/>
      <c r="MT10" s="36"/>
      <c r="MU10" s="36"/>
      <c r="MV10" s="36"/>
      <c r="MW10" s="36"/>
      <c r="MX10" s="36"/>
      <c r="MY10" s="36"/>
      <c r="MZ10" s="36"/>
      <c r="NA10" s="36"/>
      <c r="NB10" s="36"/>
      <c r="NC10" s="36"/>
      <c r="ND10" s="36"/>
      <c r="NE10" s="36"/>
      <c r="NF10" s="33"/>
      <c r="NG10" s="37">
        <v>22</v>
      </c>
      <c r="NH10" s="36">
        <v>15.073256323000001</v>
      </c>
      <c r="NI10" s="36">
        <v>9.3305832357000007</v>
      </c>
      <c r="NJ10" s="36">
        <v>23.041073452999999</v>
      </c>
      <c r="NK10" s="36">
        <v>17.367552674999999</v>
      </c>
      <c r="NL10" s="36"/>
      <c r="NM10" s="36"/>
      <c r="NN10" s="36"/>
      <c r="NO10" s="36"/>
      <c r="NP10" s="36"/>
      <c r="NQ10" s="36"/>
      <c r="NR10" s="36"/>
      <c r="NS10" s="36"/>
      <c r="NT10" s="36"/>
      <c r="NU10" s="36"/>
      <c r="NV10" s="36"/>
      <c r="NW10" s="36"/>
      <c r="NX10" s="36"/>
      <c r="NY10" s="36"/>
      <c r="NZ10" s="33"/>
      <c r="OA10" s="37">
        <v>14</v>
      </c>
      <c r="OB10" s="36">
        <v>11.052078975000001</v>
      </c>
      <c r="OC10" s="36">
        <v>6.0422744202000001</v>
      </c>
      <c r="OD10" s="36">
        <v>18.543510552000001</v>
      </c>
      <c r="OE10" s="36"/>
      <c r="OF10" s="36"/>
      <c r="OG10" s="36"/>
      <c r="OH10" s="36"/>
      <c r="OI10" s="36"/>
      <c r="OJ10" s="36"/>
      <c r="OK10" s="36"/>
      <c r="OL10" s="36"/>
      <c r="OM10" s="36"/>
      <c r="ON10" s="36"/>
      <c r="OO10" s="36"/>
      <c r="OP10" s="36"/>
      <c r="OQ10" s="36"/>
      <c r="OR10" s="36"/>
      <c r="OS10" s="33"/>
      <c r="OT10" s="43"/>
      <c r="OU10" s="44">
        <v>33</v>
      </c>
      <c r="OV10" s="36">
        <v>2400</v>
      </c>
      <c r="OW10" s="36">
        <v>13.75</v>
      </c>
      <c r="OX10" s="33">
        <v>0</v>
      </c>
      <c r="OY10" s="36">
        <v>7761</v>
      </c>
      <c r="OZ10" s="36">
        <v>72.061281336999997</v>
      </c>
      <c r="PA10" s="36">
        <v>69.856471522999996</v>
      </c>
      <c r="PB10" s="33">
        <v>74.266091150999998</v>
      </c>
      <c r="PC10" s="37">
        <v>1583</v>
      </c>
      <c r="PD10" s="36">
        <v>15.440889583000001</v>
      </c>
      <c r="PE10" s="36">
        <v>11.888910129999999</v>
      </c>
      <c r="PF10" s="33">
        <v>18.992869034999998</v>
      </c>
      <c r="PG10" s="45">
        <v>85.348189414999993</v>
      </c>
      <c r="PH10" s="36">
        <v>9192</v>
      </c>
      <c r="PI10" s="36">
        <v>82.298104504999998</v>
      </c>
      <c r="PJ10" s="33">
        <v>88.398274325000003</v>
      </c>
      <c r="PK10" s="33">
        <v>25341</v>
      </c>
      <c r="PL10" s="33">
        <f t="shared" si="3"/>
        <v>5049</v>
      </c>
      <c r="PM10" s="35">
        <v>19.924233456</v>
      </c>
      <c r="PN10" s="33">
        <f t="shared" si="4"/>
        <v>4639</v>
      </c>
      <c r="PO10" s="35">
        <v>18.306302039999998</v>
      </c>
      <c r="PP10" s="36">
        <v>261</v>
      </c>
      <c r="PQ10" s="35">
        <v>1.0299514621000001</v>
      </c>
      <c r="PR10" s="36">
        <v>91</v>
      </c>
      <c r="PS10" s="35">
        <v>0.35910185080000001</v>
      </c>
      <c r="PT10" s="36">
        <v>171</v>
      </c>
      <c r="PU10" s="35">
        <v>0.67479578549999997</v>
      </c>
      <c r="PV10" s="36">
        <v>18</v>
      </c>
      <c r="PW10" s="35">
        <v>7.1031135300000006E-2</v>
      </c>
      <c r="PX10" s="36">
        <v>503</v>
      </c>
      <c r="PY10" s="35">
        <v>1.9849256146000001</v>
      </c>
      <c r="PZ10" s="36">
        <v>23902</v>
      </c>
      <c r="QA10" s="35">
        <v>94.321455349000004</v>
      </c>
      <c r="QB10" s="36">
        <v>76</v>
      </c>
      <c r="QC10" s="36">
        <v>0.31526112750000002</v>
      </c>
      <c r="QD10" s="36">
        <v>0</v>
      </c>
      <c r="QE10" s="33">
        <v>0.72129865790000003</v>
      </c>
      <c r="QF10" s="35">
        <v>49.962511345000003</v>
      </c>
      <c r="QG10" s="38">
        <v>24475</v>
      </c>
      <c r="QH10" s="35">
        <v>100</v>
      </c>
    </row>
    <row r="11" spans="1:450" x14ac:dyDescent="0.25">
      <c r="A11">
        <v>50</v>
      </c>
      <c r="B11" t="s">
        <v>501</v>
      </c>
      <c r="C11" t="s">
        <v>502</v>
      </c>
      <c r="D11">
        <v>50017</v>
      </c>
      <c r="E11" t="s">
        <v>528</v>
      </c>
      <c r="F11">
        <v>50017</v>
      </c>
      <c r="G11" t="s">
        <v>529</v>
      </c>
      <c r="H11">
        <v>687.19087437635005</v>
      </c>
      <c r="I11">
        <v>28873</v>
      </c>
      <c r="J11">
        <v>0</v>
      </c>
      <c r="K11">
        <v>15516</v>
      </c>
      <c r="L11">
        <v>93</v>
      </c>
      <c r="M11">
        <v>12670</v>
      </c>
      <c r="N11">
        <v>262</v>
      </c>
      <c r="O11" s="8">
        <v>5126</v>
      </c>
      <c r="P11">
        <v>551</v>
      </c>
      <c r="Q11" s="9">
        <v>609</v>
      </c>
      <c r="R11">
        <v>144</v>
      </c>
      <c r="S11" s="10">
        <v>3501</v>
      </c>
      <c r="T11">
        <v>287</v>
      </c>
      <c r="U11" s="11">
        <v>1557</v>
      </c>
      <c r="V11">
        <v>231</v>
      </c>
      <c r="W11" s="12">
        <v>1298</v>
      </c>
      <c r="X11">
        <v>222</v>
      </c>
      <c r="Y11" s="13">
        <v>6085</v>
      </c>
      <c r="Z11">
        <v>35</v>
      </c>
      <c r="AA11" s="14">
        <v>5313</v>
      </c>
      <c r="AB11">
        <v>59</v>
      </c>
      <c r="AC11" s="8">
        <v>4400</v>
      </c>
      <c r="AD11">
        <v>374</v>
      </c>
      <c r="AE11" s="9">
        <v>548</v>
      </c>
      <c r="AF11">
        <v>106</v>
      </c>
      <c r="AG11" s="10">
        <v>25</v>
      </c>
      <c r="AH11">
        <v>65</v>
      </c>
      <c r="AI11" s="11">
        <v>1377</v>
      </c>
      <c r="AJ11">
        <v>160</v>
      </c>
      <c r="AK11" s="12">
        <v>189</v>
      </c>
      <c r="AL11">
        <v>51</v>
      </c>
      <c r="AM11" s="13">
        <v>1576</v>
      </c>
      <c r="AN11">
        <v>173</v>
      </c>
      <c r="AO11" s="14">
        <v>291</v>
      </c>
      <c r="AP11">
        <v>70</v>
      </c>
      <c r="AQ11" s="8">
        <v>514</v>
      </c>
      <c r="AR11">
        <v>109</v>
      </c>
      <c r="AS11" s="9">
        <v>659</v>
      </c>
      <c r="AT11">
        <v>186</v>
      </c>
      <c r="AU11">
        <v>18.100000000000001</v>
      </c>
      <c r="AV11">
        <v>1.9</v>
      </c>
      <c r="AW11">
        <v>3.8</v>
      </c>
      <c r="AX11">
        <v>0.9</v>
      </c>
      <c r="AY11">
        <v>27.6</v>
      </c>
      <c r="AZ11">
        <v>2.2000000000000002</v>
      </c>
      <c r="BA11">
        <v>7.3</v>
      </c>
      <c r="BB11">
        <v>1.1000000000000001</v>
      </c>
      <c r="BC11">
        <v>4.5</v>
      </c>
      <c r="BD11">
        <v>0.8</v>
      </c>
      <c r="BE11">
        <v>21.1</v>
      </c>
      <c r="BF11">
        <v>0.1</v>
      </c>
      <c r="BG11">
        <v>18.399999999999999</v>
      </c>
      <c r="BH11">
        <v>0.2</v>
      </c>
      <c r="BI11">
        <v>15.3</v>
      </c>
      <c r="BJ11">
        <v>1.3</v>
      </c>
      <c r="BK11">
        <v>4.3</v>
      </c>
      <c r="BL11">
        <v>0.8</v>
      </c>
      <c r="BM11">
        <v>0.1</v>
      </c>
      <c r="BN11">
        <v>0.2</v>
      </c>
      <c r="BO11">
        <v>4.8</v>
      </c>
      <c r="BP11">
        <v>0.6</v>
      </c>
      <c r="BQ11">
        <v>1.2</v>
      </c>
      <c r="BR11">
        <v>0.3</v>
      </c>
      <c r="BS11">
        <v>10.199999999999999</v>
      </c>
      <c r="BT11">
        <v>1.1000000000000001</v>
      </c>
      <c r="BU11">
        <v>2.2999999999999998</v>
      </c>
      <c r="BV11">
        <v>0.6</v>
      </c>
      <c r="BW11">
        <v>4.0999999999999996</v>
      </c>
      <c r="BX11">
        <v>0.8</v>
      </c>
      <c r="BY11">
        <v>2.2999999999999998</v>
      </c>
      <c r="BZ11">
        <v>0.6</v>
      </c>
      <c r="CA11">
        <v>0.3846</v>
      </c>
      <c r="CB11">
        <v>0.3846</v>
      </c>
      <c r="CC11">
        <v>0.30769999999999997</v>
      </c>
      <c r="CD11">
        <v>0.61539999999999995</v>
      </c>
      <c r="CE11">
        <v>0.53849999999999998</v>
      </c>
      <c r="CF11">
        <v>2.2307999999999999</v>
      </c>
      <c r="CG11">
        <v>0.46150000000000002</v>
      </c>
      <c r="CH11">
        <v>0.53849999999999998</v>
      </c>
      <c r="CI11">
        <v>0.53849999999999998</v>
      </c>
      <c r="CJ11">
        <v>0.46150000000000002</v>
      </c>
      <c r="CK11">
        <v>0.30769999999999997</v>
      </c>
      <c r="CL11">
        <v>0</v>
      </c>
      <c r="CM11">
        <v>1.8462000000000001</v>
      </c>
      <c r="CN11">
        <v>0.30769999999999997</v>
      </c>
      <c r="CO11">
        <v>0</v>
      </c>
      <c r="CP11">
        <v>0</v>
      </c>
      <c r="CQ11">
        <v>0</v>
      </c>
      <c r="CR11">
        <v>0.15379999999999999</v>
      </c>
      <c r="CS11">
        <v>1</v>
      </c>
      <c r="CT11">
        <v>0.84619999999999995</v>
      </c>
      <c r="CU11">
        <v>7.6899999999999996E-2</v>
      </c>
      <c r="CV11">
        <v>0.30769999999999997</v>
      </c>
      <c r="CW11">
        <v>2.3845999999999998</v>
      </c>
      <c r="CX11">
        <v>0.30769999999999997</v>
      </c>
      <c r="CY11">
        <v>6.4615999999999998</v>
      </c>
      <c r="CZ11">
        <v>7.6899999999999996E-2</v>
      </c>
      <c r="DA11">
        <v>0</v>
      </c>
      <c r="DB11">
        <v>0</v>
      </c>
      <c r="DC11">
        <v>0</v>
      </c>
      <c r="DD11">
        <v>0</v>
      </c>
      <c r="DE11">
        <v>0</v>
      </c>
      <c r="DF11">
        <v>0</v>
      </c>
      <c r="DG11">
        <v>0</v>
      </c>
      <c r="DH11">
        <v>0</v>
      </c>
      <c r="DI11">
        <v>0</v>
      </c>
      <c r="DJ11">
        <v>0</v>
      </c>
      <c r="DK11">
        <v>0</v>
      </c>
      <c r="DL11">
        <v>0</v>
      </c>
      <c r="DM11">
        <v>0</v>
      </c>
      <c r="DN11">
        <v>0</v>
      </c>
      <c r="DO11">
        <v>0</v>
      </c>
      <c r="DP11">
        <v>1</v>
      </c>
      <c r="DQ11">
        <v>0</v>
      </c>
      <c r="DR11">
        <v>0</v>
      </c>
      <c r="DS11">
        <v>0</v>
      </c>
      <c r="DT11">
        <v>1</v>
      </c>
      <c r="DU11">
        <v>1</v>
      </c>
      <c r="DV11">
        <v>21206</v>
      </c>
      <c r="DW11">
        <v>4128</v>
      </c>
      <c r="DX11">
        <v>460</v>
      </c>
      <c r="DY11" s="8">
        <v>121</v>
      </c>
      <c r="DZ11">
        <v>37</v>
      </c>
      <c r="EA11" s="9">
        <v>398</v>
      </c>
      <c r="EB11">
        <v>0</v>
      </c>
      <c r="EC11" s="10">
        <v>102</v>
      </c>
      <c r="ED11">
        <v>37</v>
      </c>
      <c r="EE11" s="11">
        <v>79</v>
      </c>
      <c r="EF11">
        <v>53</v>
      </c>
      <c r="EG11" s="12">
        <v>23</v>
      </c>
      <c r="EH11">
        <v>32</v>
      </c>
      <c r="EI11" s="13">
        <v>593</v>
      </c>
      <c r="EJ11">
        <v>117</v>
      </c>
      <c r="EK11" s="14">
        <v>61</v>
      </c>
      <c r="EL11">
        <v>61</v>
      </c>
      <c r="EM11">
        <v>14.6</v>
      </c>
      <c r="EN11">
        <v>0.1</v>
      </c>
      <c r="EO11">
        <v>0.4</v>
      </c>
      <c r="EP11">
        <v>0.1</v>
      </c>
      <c r="EQ11">
        <v>1.4</v>
      </c>
      <c r="ER11">
        <v>0</v>
      </c>
      <c r="ES11">
        <v>0.4</v>
      </c>
      <c r="ET11">
        <v>0.1</v>
      </c>
      <c r="EU11">
        <v>0.3</v>
      </c>
      <c r="EV11">
        <v>0.2</v>
      </c>
      <c r="EW11">
        <v>0.1</v>
      </c>
      <c r="EX11">
        <v>0.1</v>
      </c>
      <c r="EY11">
        <v>2.1</v>
      </c>
      <c r="EZ11">
        <v>0.4</v>
      </c>
      <c r="FA11">
        <v>0.2</v>
      </c>
      <c r="FB11">
        <v>0.2</v>
      </c>
      <c r="FC11" s="32"/>
      <c r="FD11" s="33"/>
      <c r="FE11" s="34">
        <v>79.822668046999993</v>
      </c>
      <c r="FF11" s="34">
        <v>78.816244764999993</v>
      </c>
      <c r="FG11" s="34">
        <v>80.829091328999993</v>
      </c>
      <c r="FH11" s="34"/>
      <c r="FI11" s="34"/>
      <c r="FJ11" s="34"/>
      <c r="FK11" s="34"/>
      <c r="FL11" s="34"/>
      <c r="FM11" s="34"/>
      <c r="FN11" s="34"/>
      <c r="FO11" s="34"/>
      <c r="FP11" s="34"/>
      <c r="FQ11" s="34"/>
      <c r="FR11" s="34"/>
      <c r="FS11" s="34"/>
      <c r="FT11" s="34"/>
      <c r="FU11" s="34"/>
      <c r="FV11" s="35"/>
      <c r="FW11" s="36">
        <v>383</v>
      </c>
      <c r="FX11" s="36">
        <v>294.84556170000002</v>
      </c>
      <c r="FY11" s="36">
        <v>262.32241550999998</v>
      </c>
      <c r="FZ11" s="36">
        <v>327.36870789</v>
      </c>
      <c r="GA11" s="36"/>
      <c r="GB11" s="36"/>
      <c r="GC11" s="36"/>
      <c r="GD11" s="36"/>
      <c r="GE11" s="36"/>
      <c r="GF11" s="36"/>
      <c r="GG11" s="36"/>
      <c r="GH11" s="36"/>
      <c r="GI11" s="36"/>
      <c r="GJ11" s="36"/>
      <c r="GK11" s="36"/>
      <c r="GL11" s="36"/>
      <c r="GM11" s="36"/>
      <c r="GN11" s="36"/>
      <c r="GO11" s="33"/>
      <c r="GP11" s="36">
        <v>10</v>
      </c>
      <c r="GQ11" s="36">
        <v>47.26791454</v>
      </c>
      <c r="GR11" s="36">
        <v>22.666802307000001</v>
      </c>
      <c r="GS11" s="36">
        <v>86.927377774999997</v>
      </c>
      <c r="GT11" s="36"/>
      <c r="GU11" s="36"/>
      <c r="GV11" s="36"/>
      <c r="GW11" s="36"/>
      <c r="GX11" s="36"/>
      <c r="GY11" s="36"/>
      <c r="GZ11" s="36"/>
      <c r="HA11" s="36"/>
      <c r="HB11" s="36"/>
      <c r="HC11" s="36"/>
      <c r="HD11" s="36"/>
      <c r="HE11" s="36"/>
      <c r="HF11" s="36"/>
      <c r="HG11" s="36"/>
      <c r="HH11" s="33"/>
      <c r="HI11" s="36"/>
      <c r="HJ11" s="36"/>
      <c r="HK11" s="36"/>
      <c r="HL11" s="36"/>
      <c r="HM11" s="36"/>
      <c r="HN11" s="36"/>
      <c r="HO11" s="36"/>
      <c r="HP11" s="36"/>
      <c r="HQ11" s="36"/>
      <c r="HR11" s="36"/>
      <c r="HS11" s="36"/>
      <c r="HT11" s="36"/>
      <c r="HU11" s="36"/>
      <c r="HV11" s="36"/>
      <c r="HW11" s="36"/>
      <c r="HX11" s="36"/>
      <c r="HY11" s="36"/>
      <c r="HZ11" s="36"/>
      <c r="IA11" s="33"/>
      <c r="IB11" s="37">
        <f t="shared" si="5"/>
        <v>3316</v>
      </c>
      <c r="IC11" s="38">
        <v>11.5</v>
      </c>
      <c r="ID11" s="36">
        <v>10.3</v>
      </c>
      <c r="IE11" s="33">
        <v>12.9</v>
      </c>
      <c r="IF11" s="37">
        <f t="shared" si="0"/>
        <v>4210</v>
      </c>
      <c r="IG11" s="38">
        <v>14.6</v>
      </c>
      <c r="IH11" s="36">
        <v>13.1</v>
      </c>
      <c r="II11" s="33">
        <v>16.2</v>
      </c>
      <c r="IJ11" s="37">
        <f t="shared" si="1"/>
        <v>2134</v>
      </c>
      <c r="IK11" s="38">
        <v>7.4</v>
      </c>
      <c r="IL11" s="36">
        <v>6.8</v>
      </c>
      <c r="IM11" s="33">
        <v>8.1</v>
      </c>
      <c r="IN11" s="37">
        <v>5</v>
      </c>
      <c r="IO11" s="33">
        <v>19.8</v>
      </c>
      <c r="IP11" s="37">
        <v>2900</v>
      </c>
      <c r="IQ11" s="33">
        <v>10</v>
      </c>
      <c r="IR11" s="37">
        <v>1004.3149991</v>
      </c>
      <c r="IS11" s="33">
        <v>3.4708148987</v>
      </c>
      <c r="IT11" s="37">
        <v>15</v>
      </c>
      <c r="IU11" s="36">
        <v>17.295452448999999</v>
      </c>
      <c r="IV11" s="36">
        <v>9.6801334434000008</v>
      </c>
      <c r="IW11" s="36">
        <v>28.526218605</v>
      </c>
      <c r="IX11" s="36"/>
      <c r="IY11" s="36"/>
      <c r="IZ11" s="36"/>
      <c r="JA11" s="36"/>
      <c r="JB11" s="36"/>
      <c r="JC11" s="36"/>
      <c r="JD11" s="36"/>
      <c r="JE11" s="36"/>
      <c r="JF11" s="36"/>
      <c r="JG11" s="36"/>
      <c r="JH11" s="36"/>
      <c r="JI11" s="36"/>
      <c r="JJ11" s="36"/>
      <c r="JK11" s="36"/>
      <c r="JL11" s="33"/>
      <c r="JM11" s="36">
        <v>19</v>
      </c>
      <c r="JN11" s="36">
        <v>9.3883258638000004</v>
      </c>
      <c r="JO11" s="36">
        <v>5.6523854572000003</v>
      </c>
      <c r="JP11" s="36">
        <v>14.661033788999999</v>
      </c>
      <c r="JQ11" s="36"/>
      <c r="JR11" s="36"/>
      <c r="JS11" s="36"/>
      <c r="JT11" s="36"/>
      <c r="JU11" s="36"/>
      <c r="JV11" s="36"/>
      <c r="JW11" s="36"/>
      <c r="JX11" s="36"/>
      <c r="JY11" s="36"/>
      <c r="JZ11" s="36"/>
      <c r="KA11" s="36"/>
      <c r="KB11" s="36"/>
      <c r="KC11" s="36"/>
      <c r="KD11" s="36"/>
      <c r="KE11" s="33"/>
      <c r="KF11" s="37">
        <f t="shared" si="2"/>
        <v>9656</v>
      </c>
      <c r="KG11" s="38">
        <v>33.483467597000001</v>
      </c>
      <c r="KH11" s="36">
        <v>31.711171428</v>
      </c>
      <c r="KI11" s="33">
        <v>35.295267029999998</v>
      </c>
      <c r="KJ11" s="37">
        <v>1271</v>
      </c>
      <c r="KK11" s="36">
        <v>7.5407890834</v>
      </c>
      <c r="KL11" s="36">
        <v>6.2301507855000002</v>
      </c>
      <c r="KM11" s="33">
        <v>8.8514273812000006</v>
      </c>
      <c r="KN11" s="37">
        <v>111</v>
      </c>
      <c r="KO11" s="36">
        <v>2.0837244228</v>
      </c>
      <c r="KP11" s="36">
        <v>1.3688308057</v>
      </c>
      <c r="KQ11" s="33">
        <v>2.7986180398</v>
      </c>
      <c r="KR11" s="36">
        <v>100.56525000000001</v>
      </c>
      <c r="KS11" s="39" t="s">
        <v>530</v>
      </c>
      <c r="KT11" s="36">
        <v>140</v>
      </c>
      <c r="KU11" s="33">
        <v>88.142857143000001</v>
      </c>
      <c r="KV11" s="36"/>
      <c r="KW11" s="36"/>
      <c r="KX11" s="33"/>
      <c r="KY11" s="34"/>
      <c r="KZ11" s="34"/>
      <c r="LA11" s="34"/>
      <c r="LB11" s="34"/>
      <c r="LC11" s="35"/>
      <c r="LD11" s="34"/>
      <c r="LE11" s="34"/>
      <c r="LF11" s="34"/>
      <c r="LG11" s="34"/>
      <c r="LH11" s="35"/>
      <c r="LI11" s="40">
        <v>7.6356212300000004E-2</v>
      </c>
      <c r="LJ11" s="36"/>
      <c r="LK11" s="33"/>
      <c r="LL11" s="36">
        <v>44707</v>
      </c>
      <c r="LM11" s="36">
        <v>46127</v>
      </c>
      <c r="LN11" s="41">
        <v>0.96921542699999996</v>
      </c>
      <c r="LO11" s="41">
        <v>0.86536184540000005</v>
      </c>
      <c r="LP11" s="40">
        <v>1.0730690085000001</v>
      </c>
      <c r="LQ11" s="36">
        <v>60624</v>
      </c>
      <c r="LR11" s="36">
        <v>52967.489362</v>
      </c>
      <c r="LS11" s="36">
        <v>68280.510638000007</v>
      </c>
      <c r="LT11" s="36">
        <v>60667</v>
      </c>
      <c r="LU11" s="36">
        <v>20979.680851000001</v>
      </c>
      <c r="LV11" s="36">
        <v>100354.31915</v>
      </c>
      <c r="LW11" s="36">
        <v>21463</v>
      </c>
      <c r="LX11" s="36">
        <v>20989.978723</v>
      </c>
      <c r="LY11" s="36">
        <v>21936.021277</v>
      </c>
      <c r="LZ11" s="36">
        <v>61827</v>
      </c>
      <c r="MA11" s="36">
        <v>15762.829787000001</v>
      </c>
      <c r="MB11" s="36">
        <v>107891.17021</v>
      </c>
      <c r="MC11" s="36">
        <v>28125</v>
      </c>
      <c r="MD11" s="36">
        <v>10851.978723</v>
      </c>
      <c r="ME11" s="36">
        <v>45398.021277</v>
      </c>
      <c r="MF11" s="36">
        <v>63493</v>
      </c>
      <c r="MG11" s="36">
        <v>59948.319149000003</v>
      </c>
      <c r="MH11" s="33">
        <v>67037.680850999997</v>
      </c>
      <c r="MI11" s="42">
        <v>43.209555958999999</v>
      </c>
      <c r="MJ11" s="33"/>
      <c r="MK11" s="33">
        <v>9.5900472222000008</v>
      </c>
      <c r="ML11" s="42">
        <v>26.814462919</v>
      </c>
      <c r="MM11" s="36">
        <v>34</v>
      </c>
      <c r="MN11" s="33">
        <v>25.430067314999999</v>
      </c>
      <c r="MO11" s="36"/>
      <c r="MP11" s="36"/>
      <c r="MQ11" s="36"/>
      <c r="MR11" s="36"/>
      <c r="MS11" s="36"/>
      <c r="MT11" s="36"/>
      <c r="MU11" s="36"/>
      <c r="MV11" s="36"/>
      <c r="MW11" s="36"/>
      <c r="MX11" s="36"/>
      <c r="MY11" s="36"/>
      <c r="MZ11" s="36"/>
      <c r="NA11" s="36"/>
      <c r="NB11" s="36"/>
      <c r="NC11" s="36"/>
      <c r="ND11" s="36"/>
      <c r="NE11" s="36"/>
      <c r="NF11" s="33"/>
      <c r="NG11" s="37">
        <v>33</v>
      </c>
      <c r="NH11" s="36">
        <v>21.170305827</v>
      </c>
      <c r="NI11" s="36">
        <v>14.178086068000001</v>
      </c>
      <c r="NJ11" s="36">
        <v>30.404090548999999</v>
      </c>
      <c r="NK11" s="36">
        <v>22.818262908000001</v>
      </c>
      <c r="NL11" s="36"/>
      <c r="NM11" s="36"/>
      <c r="NN11" s="36"/>
      <c r="NO11" s="36"/>
      <c r="NP11" s="36"/>
      <c r="NQ11" s="36"/>
      <c r="NR11" s="36"/>
      <c r="NS11" s="36"/>
      <c r="NT11" s="36"/>
      <c r="NU11" s="36"/>
      <c r="NV11" s="36"/>
      <c r="NW11" s="36"/>
      <c r="NX11" s="36"/>
      <c r="NY11" s="36"/>
      <c r="NZ11" s="33"/>
      <c r="OA11" s="37">
        <v>28</v>
      </c>
      <c r="OB11" s="36">
        <v>19.360950345999999</v>
      </c>
      <c r="OC11" s="36">
        <v>12.865210899999999</v>
      </c>
      <c r="OD11" s="36">
        <v>27.981963853</v>
      </c>
      <c r="OE11" s="36"/>
      <c r="OF11" s="36"/>
      <c r="OG11" s="36"/>
      <c r="OH11" s="36"/>
      <c r="OI11" s="36"/>
      <c r="OJ11" s="36"/>
      <c r="OK11" s="36"/>
      <c r="OL11" s="36"/>
      <c r="OM11" s="36"/>
      <c r="ON11" s="36"/>
      <c r="OO11" s="36"/>
      <c r="OP11" s="36"/>
      <c r="OQ11" s="36"/>
      <c r="OR11" s="36"/>
      <c r="OS11" s="33"/>
      <c r="OT11" s="43"/>
      <c r="OU11" s="44">
        <v>39</v>
      </c>
      <c r="OV11" s="36">
        <v>2400</v>
      </c>
      <c r="OW11" s="36">
        <v>16.25</v>
      </c>
      <c r="OX11" s="33">
        <v>14.810066727000001</v>
      </c>
      <c r="OY11" s="36">
        <v>10219</v>
      </c>
      <c r="OZ11" s="36">
        <v>80.655090766000001</v>
      </c>
      <c r="PA11" s="36">
        <v>79.000132679999993</v>
      </c>
      <c r="PB11" s="33">
        <v>82.310048851999994</v>
      </c>
      <c r="PC11" s="37">
        <v>1659</v>
      </c>
      <c r="PD11" s="36">
        <v>13.389830507999999</v>
      </c>
      <c r="PE11" s="36">
        <v>11.15560889</v>
      </c>
      <c r="PF11" s="33">
        <v>15.624052127000001</v>
      </c>
      <c r="PG11" s="45">
        <v>81.365430149999995</v>
      </c>
      <c r="PH11" s="36">
        <v>10309</v>
      </c>
      <c r="PI11" s="36">
        <v>79.516508305000002</v>
      </c>
      <c r="PJ11" s="33">
        <v>83.214351995000001</v>
      </c>
      <c r="PK11" s="33">
        <v>28837</v>
      </c>
      <c r="PL11" s="33">
        <f t="shared" si="3"/>
        <v>5192</v>
      </c>
      <c r="PM11" s="35">
        <v>18.004646808</v>
      </c>
      <c r="PN11" s="33">
        <f t="shared" si="4"/>
        <v>6545</v>
      </c>
      <c r="PO11" s="35">
        <v>22.696535700999998</v>
      </c>
      <c r="PP11" s="36">
        <v>184</v>
      </c>
      <c r="PQ11" s="35">
        <v>0.63806914729999997</v>
      </c>
      <c r="PR11" s="36">
        <v>113</v>
      </c>
      <c r="PS11" s="35">
        <v>0.3918576828</v>
      </c>
      <c r="PT11" s="36">
        <v>164</v>
      </c>
      <c r="PU11" s="35">
        <v>0.56871380520000003</v>
      </c>
      <c r="PV11" s="36">
        <v>5</v>
      </c>
      <c r="PW11" s="35">
        <v>1.73388355E-2</v>
      </c>
      <c r="PX11" s="36">
        <v>407</v>
      </c>
      <c r="PY11" s="35">
        <v>1.4113812116</v>
      </c>
      <c r="PZ11" s="36">
        <v>27583</v>
      </c>
      <c r="QA11" s="35">
        <v>95.651420051000002</v>
      </c>
      <c r="QB11" s="36">
        <v>25</v>
      </c>
      <c r="QC11" s="36">
        <v>9.0790238199999998E-2</v>
      </c>
      <c r="QD11" s="36">
        <v>0</v>
      </c>
      <c r="QE11" s="33">
        <v>0.37561886280000001</v>
      </c>
      <c r="QF11" s="35">
        <v>50.053750389999998</v>
      </c>
      <c r="QG11" s="38">
        <v>28137</v>
      </c>
      <c r="QH11" s="35">
        <v>97.238733757000006</v>
      </c>
    </row>
    <row r="12" spans="1:450" x14ac:dyDescent="0.25">
      <c r="A12">
        <v>50</v>
      </c>
      <c r="B12" t="s">
        <v>501</v>
      </c>
      <c r="C12" t="s">
        <v>502</v>
      </c>
      <c r="D12">
        <v>50019</v>
      </c>
      <c r="E12" t="s">
        <v>531</v>
      </c>
      <c r="F12">
        <v>50019</v>
      </c>
      <c r="G12" t="s">
        <v>532</v>
      </c>
      <c r="H12">
        <v>694.51411155105995</v>
      </c>
      <c r="I12">
        <v>26843</v>
      </c>
      <c r="J12">
        <v>3</v>
      </c>
      <c r="K12">
        <v>17726</v>
      </c>
      <c r="L12">
        <v>96</v>
      </c>
      <c r="M12">
        <v>11678</v>
      </c>
      <c r="N12">
        <v>373</v>
      </c>
      <c r="O12" s="8">
        <v>5755</v>
      </c>
      <c r="P12">
        <v>528</v>
      </c>
      <c r="Q12" s="9">
        <v>572</v>
      </c>
      <c r="R12">
        <v>112</v>
      </c>
      <c r="S12" s="10">
        <v>3480</v>
      </c>
      <c r="T12">
        <v>278</v>
      </c>
      <c r="U12" s="11">
        <v>2069</v>
      </c>
      <c r="V12">
        <v>213</v>
      </c>
      <c r="W12" s="12">
        <v>834</v>
      </c>
      <c r="X12">
        <v>163</v>
      </c>
      <c r="Y12" s="13">
        <v>6132</v>
      </c>
      <c r="Z12">
        <v>37</v>
      </c>
      <c r="AA12" s="14">
        <v>5281</v>
      </c>
      <c r="AB12">
        <v>22</v>
      </c>
      <c r="AC12" s="8">
        <v>4363</v>
      </c>
      <c r="AD12">
        <v>365</v>
      </c>
      <c r="AE12" s="9">
        <v>533</v>
      </c>
      <c r="AF12">
        <v>120</v>
      </c>
      <c r="AG12" s="10">
        <v>61</v>
      </c>
      <c r="AH12">
        <v>69</v>
      </c>
      <c r="AI12" s="11">
        <v>1408</v>
      </c>
      <c r="AJ12">
        <v>182</v>
      </c>
      <c r="AK12" s="12">
        <v>275</v>
      </c>
      <c r="AL12">
        <v>68</v>
      </c>
      <c r="AM12" s="13">
        <v>1648</v>
      </c>
      <c r="AN12">
        <v>178</v>
      </c>
      <c r="AO12" s="14">
        <v>185</v>
      </c>
      <c r="AP12">
        <v>64</v>
      </c>
      <c r="AQ12" s="8">
        <v>771</v>
      </c>
      <c r="AR12">
        <v>171</v>
      </c>
      <c r="AS12" s="9">
        <v>949</v>
      </c>
      <c r="AT12">
        <v>188</v>
      </c>
      <c r="AU12">
        <v>22.2</v>
      </c>
      <c r="AV12">
        <v>2</v>
      </c>
      <c r="AW12">
        <v>4.2</v>
      </c>
      <c r="AX12">
        <v>0.8</v>
      </c>
      <c r="AY12">
        <v>29.8</v>
      </c>
      <c r="AZ12">
        <v>2.2000000000000002</v>
      </c>
      <c r="BA12">
        <v>10.5</v>
      </c>
      <c r="BB12">
        <v>1.1000000000000001</v>
      </c>
      <c r="BC12">
        <v>3.2</v>
      </c>
      <c r="BD12">
        <v>0.6</v>
      </c>
      <c r="BE12">
        <v>22.8</v>
      </c>
      <c r="BF12">
        <v>0.1</v>
      </c>
      <c r="BG12">
        <v>19.7</v>
      </c>
      <c r="BH12">
        <v>0.1</v>
      </c>
      <c r="BI12">
        <v>16.7</v>
      </c>
      <c r="BJ12">
        <v>1.4</v>
      </c>
      <c r="BK12">
        <v>4.5999999999999996</v>
      </c>
      <c r="BL12">
        <v>1</v>
      </c>
      <c r="BM12">
        <v>0.2</v>
      </c>
      <c r="BN12">
        <v>0.3</v>
      </c>
      <c r="BO12">
        <v>5.2</v>
      </c>
      <c r="BP12">
        <v>0.7</v>
      </c>
      <c r="BQ12">
        <v>1.6</v>
      </c>
      <c r="BR12">
        <v>0.4</v>
      </c>
      <c r="BS12">
        <v>9.3000000000000007</v>
      </c>
      <c r="BT12">
        <v>1</v>
      </c>
      <c r="BU12">
        <v>1.6</v>
      </c>
      <c r="BV12">
        <v>0.5</v>
      </c>
      <c r="BW12">
        <v>6.6</v>
      </c>
      <c r="BX12">
        <v>1.4</v>
      </c>
      <c r="BY12">
        <v>3.5</v>
      </c>
      <c r="BZ12">
        <v>0.7</v>
      </c>
      <c r="CA12">
        <v>0.84619999999999995</v>
      </c>
      <c r="CB12">
        <v>0.69230000000000003</v>
      </c>
      <c r="CC12">
        <v>0.23080000000000001</v>
      </c>
      <c r="CD12">
        <v>0.92310000000000003</v>
      </c>
      <c r="CE12">
        <v>0</v>
      </c>
      <c r="CF12">
        <v>2.6924000000000001</v>
      </c>
      <c r="CG12">
        <v>0.69230000000000003</v>
      </c>
      <c r="CH12">
        <v>0.84619999999999995</v>
      </c>
      <c r="CI12">
        <v>0.84619999999999995</v>
      </c>
      <c r="CJ12">
        <v>0.69230000000000003</v>
      </c>
      <c r="CK12">
        <v>0.46150000000000002</v>
      </c>
      <c r="CL12">
        <v>0.23080000000000001</v>
      </c>
      <c r="CM12">
        <v>3.077</v>
      </c>
      <c r="CN12">
        <v>0.84619999999999995</v>
      </c>
      <c r="CO12">
        <v>0.15379999999999999</v>
      </c>
      <c r="CP12">
        <v>0.15379999999999999</v>
      </c>
      <c r="CQ12">
        <v>0.15379999999999999</v>
      </c>
      <c r="CR12">
        <v>0.23080000000000001</v>
      </c>
      <c r="CS12">
        <v>0.76919999999999999</v>
      </c>
      <c r="CT12">
        <v>0.61539999999999995</v>
      </c>
      <c r="CU12">
        <v>0.53849999999999998</v>
      </c>
      <c r="CV12">
        <v>0.46150000000000002</v>
      </c>
      <c r="CW12">
        <v>2.6154000000000002</v>
      </c>
      <c r="CX12">
        <v>0.53849999999999998</v>
      </c>
      <c r="CY12">
        <v>8.5386000000000006</v>
      </c>
      <c r="CZ12">
        <v>0.69230000000000003</v>
      </c>
      <c r="DA12">
        <v>0</v>
      </c>
      <c r="DB12">
        <v>0</v>
      </c>
      <c r="DC12">
        <v>0</v>
      </c>
      <c r="DD12">
        <v>1</v>
      </c>
      <c r="DE12">
        <v>0</v>
      </c>
      <c r="DF12">
        <v>1</v>
      </c>
      <c r="DG12">
        <v>0</v>
      </c>
      <c r="DH12">
        <v>0</v>
      </c>
      <c r="DI12">
        <v>0</v>
      </c>
      <c r="DJ12">
        <v>0</v>
      </c>
      <c r="DK12">
        <v>0</v>
      </c>
      <c r="DL12">
        <v>0</v>
      </c>
      <c r="DM12">
        <v>0</v>
      </c>
      <c r="DN12">
        <v>0</v>
      </c>
      <c r="DO12">
        <v>0</v>
      </c>
      <c r="DP12">
        <v>0</v>
      </c>
      <c r="DQ12">
        <v>0</v>
      </c>
      <c r="DR12">
        <v>0</v>
      </c>
      <c r="DS12">
        <v>0</v>
      </c>
      <c r="DT12">
        <v>0</v>
      </c>
      <c r="DU12">
        <v>1</v>
      </c>
      <c r="DV12">
        <v>25943</v>
      </c>
      <c r="DW12">
        <v>3593</v>
      </c>
      <c r="DX12">
        <v>403</v>
      </c>
      <c r="DY12" s="8">
        <v>197</v>
      </c>
      <c r="DZ12">
        <v>47</v>
      </c>
      <c r="EA12" s="9">
        <v>407</v>
      </c>
      <c r="EB12">
        <v>4</v>
      </c>
      <c r="EC12" s="10">
        <v>51</v>
      </c>
      <c r="ED12">
        <v>33</v>
      </c>
      <c r="EE12" s="11">
        <v>143</v>
      </c>
      <c r="EF12">
        <v>63</v>
      </c>
      <c r="EG12" s="12">
        <v>7</v>
      </c>
      <c r="EH12">
        <v>12</v>
      </c>
      <c r="EI12" s="13">
        <v>582</v>
      </c>
      <c r="EJ12">
        <v>96</v>
      </c>
      <c r="EK12" s="14">
        <v>21</v>
      </c>
      <c r="EL12">
        <v>21</v>
      </c>
      <c r="EM12">
        <v>13.9</v>
      </c>
      <c r="EN12">
        <v>0.1</v>
      </c>
      <c r="EO12">
        <v>0.7</v>
      </c>
      <c r="EP12">
        <v>0.2</v>
      </c>
      <c r="EQ12">
        <v>1.5</v>
      </c>
      <c r="ER12">
        <v>0.1</v>
      </c>
      <c r="ES12">
        <v>0.2</v>
      </c>
      <c r="ET12">
        <v>0.1</v>
      </c>
      <c r="EU12">
        <v>0.5</v>
      </c>
      <c r="EV12">
        <v>0.2</v>
      </c>
      <c r="EW12">
        <v>0</v>
      </c>
      <c r="EX12">
        <v>0.1</v>
      </c>
      <c r="EY12">
        <v>2.2000000000000002</v>
      </c>
      <c r="EZ12">
        <v>0.4</v>
      </c>
      <c r="FA12">
        <v>0.1</v>
      </c>
      <c r="FB12">
        <v>0.1</v>
      </c>
      <c r="FC12" s="32"/>
      <c r="FD12" s="33"/>
      <c r="FE12" s="34">
        <v>77.941830522999993</v>
      </c>
      <c r="FF12" s="34">
        <v>76.829432382999997</v>
      </c>
      <c r="FG12" s="34">
        <v>79.054228663999993</v>
      </c>
      <c r="FH12" s="34"/>
      <c r="FI12" s="34"/>
      <c r="FJ12" s="34"/>
      <c r="FK12" s="34"/>
      <c r="FL12" s="34"/>
      <c r="FM12" s="34"/>
      <c r="FN12" s="34"/>
      <c r="FO12" s="34"/>
      <c r="FP12" s="34"/>
      <c r="FQ12" s="34"/>
      <c r="FR12" s="34"/>
      <c r="FS12" s="34"/>
      <c r="FT12" s="34"/>
      <c r="FU12" s="34"/>
      <c r="FV12" s="35"/>
      <c r="FW12" s="36">
        <v>450</v>
      </c>
      <c r="FX12" s="36">
        <v>393.03136088000002</v>
      </c>
      <c r="FY12" s="36">
        <v>353.01655789</v>
      </c>
      <c r="FZ12" s="36">
        <v>433.04616386999999</v>
      </c>
      <c r="GA12" s="36"/>
      <c r="GB12" s="36"/>
      <c r="GC12" s="36"/>
      <c r="GD12" s="36"/>
      <c r="GE12" s="36"/>
      <c r="GF12" s="36"/>
      <c r="GG12" s="36"/>
      <c r="GH12" s="36"/>
      <c r="GI12" s="36"/>
      <c r="GJ12" s="36"/>
      <c r="GK12" s="36"/>
      <c r="GL12" s="36"/>
      <c r="GM12" s="36"/>
      <c r="GN12" s="36"/>
      <c r="GO12" s="33"/>
      <c r="GP12" s="36"/>
      <c r="GQ12" s="36"/>
      <c r="GR12" s="36"/>
      <c r="GS12" s="36"/>
      <c r="GT12" s="36"/>
      <c r="GU12" s="36"/>
      <c r="GV12" s="36"/>
      <c r="GW12" s="36"/>
      <c r="GX12" s="36"/>
      <c r="GY12" s="36"/>
      <c r="GZ12" s="36"/>
      <c r="HA12" s="36"/>
      <c r="HB12" s="36"/>
      <c r="HC12" s="36"/>
      <c r="HD12" s="36"/>
      <c r="HE12" s="36"/>
      <c r="HF12" s="36"/>
      <c r="HG12" s="36"/>
      <c r="HH12" s="33"/>
      <c r="HI12" s="36"/>
      <c r="HJ12" s="36"/>
      <c r="HK12" s="36"/>
      <c r="HL12" s="36"/>
      <c r="HM12" s="36"/>
      <c r="HN12" s="36"/>
      <c r="HO12" s="36"/>
      <c r="HP12" s="36"/>
      <c r="HQ12" s="36"/>
      <c r="HR12" s="36"/>
      <c r="HS12" s="36"/>
      <c r="HT12" s="36"/>
      <c r="HU12" s="36"/>
      <c r="HV12" s="36"/>
      <c r="HW12" s="36"/>
      <c r="HX12" s="36"/>
      <c r="HY12" s="36"/>
      <c r="HZ12" s="36"/>
      <c r="IA12" s="33"/>
      <c r="IB12" s="37">
        <f t="shared" si="5"/>
        <v>3416</v>
      </c>
      <c r="IC12" s="38">
        <v>12.7</v>
      </c>
      <c r="ID12" s="36">
        <v>11.4</v>
      </c>
      <c r="IE12" s="33">
        <v>14</v>
      </c>
      <c r="IF12" s="37">
        <f t="shared" si="0"/>
        <v>4196</v>
      </c>
      <c r="IG12" s="38">
        <v>15.6</v>
      </c>
      <c r="IH12" s="36">
        <v>14</v>
      </c>
      <c r="II12" s="33">
        <v>17.100000000000001</v>
      </c>
      <c r="IJ12" s="37">
        <f t="shared" si="1"/>
        <v>2367</v>
      </c>
      <c r="IK12" s="38">
        <v>8.8000000000000007</v>
      </c>
      <c r="IL12" s="36">
        <v>8.1</v>
      </c>
      <c r="IM12" s="33">
        <v>9.5</v>
      </c>
      <c r="IN12" s="37">
        <v>8</v>
      </c>
      <c r="IO12" s="33">
        <v>34.200000000000003</v>
      </c>
      <c r="IP12" s="37">
        <v>3330</v>
      </c>
      <c r="IQ12" s="33">
        <v>12.4</v>
      </c>
      <c r="IR12" s="37">
        <v>1089.2829068999999</v>
      </c>
      <c r="IS12" s="33">
        <v>4.0001575664000004</v>
      </c>
      <c r="IT12" s="37">
        <v>17</v>
      </c>
      <c r="IU12" s="36">
        <v>21.028933338000002</v>
      </c>
      <c r="IV12" s="36">
        <v>12.250128610000001</v>
      </c>
      <c r="IW12" s="36">
        <v>33.669359378999999</v>
      </c>
      <c r="IX12" s="36"/>
      <c r="IY12" s="36"/>
      <c r="IZ12" s="36"/>
      <c r="JA12" s="36"/>
      <c r="JB12" s="36"/>
      <c r="JC12" s="36"/>
      <c r="JD12" s="36"/>
      <c r="JE12" s="36"/>
      <c r="JF12" s="36"/>
      <c r="JG12" s="36"/>
      <c r="JH12" s="36"/>
      <c r="JI12" s="36"/>
      <c r="JJ12" s="36"/>
      <c r="JK12" s="36"/>
      <c r="JL12" s="33"/>
      <c r="JM12" s="36">
        <v>28</v>
      </c>
      <c r="JN12" s="36">
        <v>14.836244946000001</v>
      </c>
      <c r="JO12" s="36">
        <v>9.8585770218000004</v>
      </c>
      <c r="JP12" s="36">
        <v>21.442504752000001</v>
      </c>
      <c r="JQ12" s="36"/>
      <c r="JR12" s="36"/>
      <c r="JS12" s="36"/>
      <c r="JT12" s="36"/>
      <c r="JU12" s="36"/>
      <c r="JV12" s="36"/>
      <c r="JW12" s="36"/>
      <c r="JX12" s="36"/>
      <c r="JY12" s="36"/>
      <c r="JZ12" s="36"/>
      <c r="KA12" s="36"/>
      <c r="KB12" s="36"/>
      <c r="KC12" s="36"/>
      <c r="KD12" s="36"/>
      <c r="KE12" s="33"/>
      <c r="KF12" s="37">
        <f t="shared" si="2"/>
        <v>9719</v>
      </c>
      <c r="KG12" s="38">
        <v>36.133307039000002</v>
      </c>
      <c r="KH12" s="36">
        <v>34.474030517000003</v>
      </c>
      <c r="KI12" s="33">
        <v>37.701100300999997</v>
      </c>
      <c r="KJ12" s="37">
        <v>1225</v>
      </c>
      <c r="KK12" s="36">
        <v>8.1595950176999992</v>
      </c>
      <c r="KL12" s="36">
        <v>6.8489567198000003</v>
      </c>
      <c r="KM12" s="33">
        <v>9.4702333154999998</v>
      </c>
      <c r="KN12" s="37">
        <v>122</v>
      </c>
      <c r="KO12" s="36">
        <v>2.2971191865999998</v>
      </c>
      <c r="KP12" s="36">
        <v>1.4630766334</v>
      </c>
      <c r="KQ12" s="33">
        <v>3.1311617398</v>
      </c>
      <c r="KR12" s="36">
        <v>63.204069999999994</v>
      </c>
      <c r="KS12" s="39" t="s">
        <v>533</v>
      </c>
      <c r="KT12" s="36">
        <v>284</v>
      </c>
      <c r="KU12" s="33">
        <v>80.616197182999997</v>
      </c>
      <c r="KV12" s="36"/>
      <c r="KW12" s="36"/>
      <c r="KX12" s="33"/>
      <c r="KY12" s="34"/>
      <c r="KZ12" s="34"/>
      <c r="LA12" s="34"/>
      <c r="LB12" s="34"/>
      <c r="LC12" s="35"/>
      <c r="LD12" s="34"/>
      <c r="LE12" s="34"/>
      <c r="LF12" s="34"/>
      <c r="LG12" s="34"/>
      <c r="LH12" s="35"/>
      <c r="LI12" s="40">
        <v>5.4659723100000002E-2</v>
      </c>
      <c r="LJ12" s="36"/>
      <c r="LK12" s="33"/>
      <c r="LL12" s="36">
        <v>37872</v>
      </c>
      <c r="LM12" s="36">
        <v>46558</v>
      </c>
      <c r="LN12" s="41">
        <v>0.81343700330000002</v>
      </c>
      <c r="LO12" s="41">
        <v>0.72052431790000004</v>
      </c>
      <c r="LP12" s="40">
        <v>0.90634968869999999</v>
      </c>
      <c r="LQ12" s="36">
        <v>56721</v>
      </c>
      <c r="LR12" s="36">
        <v>49625.680850999997</v>
      </c>
      <c r="LS12" s="36">
        <v>63816.319149000003</v>
      </c>
      <c r="LT12" s="36">
        <v>66310</v>
      </c>
      <c r="LU12" s="36">
        <v>42425.404255000001</v>
      </c>
      <c r="LV12" s="36">
        <v>90194.595744999999</v>
      </c>
      <c r="LW12" s="36"/>
      <c r="LX12" s="36"/>
      <c r="LY12" s="36"/>
      <c r="LZ12" s="36">
        <v>30625</v>
      </c>
      <c r="MA12" s="36">
        <v>12141.425531999999</v>
      </c>
      <c r="MB12" s="36">
        <v>49108.574467999999</v>
      </c>
      <c r="MC12" s="36"/>
      <c r="MD12" s="36"/>
      <c r="ME12" s="36"/>
      <c r="MF12" s="36">
        <v>55101</v>
      </c>
      <c r="MG12" s="36">
        <v>52261.680850999997</v>
      </c>
      <c r="MH12" s="33">
        <v>57940.319149000003</v>
      </c>
      <c r="MI12" s="42">
        <v>54.543153631999999</v>
      </c>
      <c r="MJ12" s="33"/>
      <c r="MK12" s="33">
        <v>33.241506688000001</v>
      </c>
      <c r="ML12" s="42">
        <v>30.371467358</v>
      </c>
      <c r="MM12" s="36">
        <v>26</v>
      </c>
      <c r="MN12" s="33">
        <v>19.984627209999999</v>
      </c>
      <c r="MO12" s="36"/>
      <c r="MP12" s="36"/>
      <c r="MQ12" s="36"/>
      <c r="MR12" s="36"/>
      <c r="MS12" s="36"/>
      <c r="MT12" s="36"/>
      <c r="MU12" s="36"/>
      <c r="MV12" s="36"/>
      <c r="MW12" s="36"/>
      <c r="MX12" s="36"/>
      <c r="MY12" s="36"/>
      <c r="MZ12" s="36"/>
      <c r="NA12" s="36"/>
      <c r="NB12" s="36"/>
      <c r="NC12" s="36"/>
      <c r="ND12" s="36"/>
      <c r="NE12" s="36"/>
      <c r="NF12" s="33"/>
      <c r="NG12" s="37">
        <v>25</v>
      </c>
      <c r="NH12" s="36">
        <v>17.399800414000001</v>
      </c>
      <c r="NI12" s="36">
        <v>10.904362282999999</v>
      </c>
      <c r="NJ12" s="36">
        <v>26.343506931</v>
      </c>
      <c r="NK12" s="36">
        <v>18.581143855000001</v>
      </c>
      <c r="NL12" s="36"/>
      <c r="NM12" s="36"/>
      <c r="NN12" s="36"/>
      <c r="NO12" s="36"/>
      <c r="NP12" s="36"/>
      <c r="NQ12" s="36"/>
      <c r="NR12" s="36"/>
      <c r="NS12" s="36"/>
      <c r="NT12" s="36"/>
      <c r="NU12" s="36"/>
      <c r="NV12" s="36"/>
      <c r="NW12" s="36"/>
      <c r="NX12" s="36"/>
      <c r="NY12" s="36"/>
      <c r="NZ12" s="33"/>
      <c r="OA12" s="37">
        <v>21</v>
      </c>
      <c r="OB12" s="36">
        <v>15.608160838</v>
      </c>
      <c r="OC12" s="36">
        <v>9.6616975615000005</v>
      </c>
      <c r="OD12" s="36">
        <v>23.858731826</v>
      </c>
      <c r="OE12" s="36"/>
      <c r="OF12" s="36"/>
      <c r="OG12" s="36"/>
      <c r="OH12" s="36"/>
      <c r="OI12" s="36"/>
      <c r="OJ12" s="36"/>
      <c r="OK12" s="36"/>
      <c r="OL12" s="36"/>
      <c r="OM12" s="36"/>
      <c r="ON12" s="36"/>
      <c r="OO12" s="36"/>
      <c r="OP12" s="36"/>
      <c r="OQ12" s="36"/>
      <c r="OR12" s="36"/>
      <c r="OS12" s="33"/>
      <c r="OT12" s="43"/>
      <c r="OU12" s="44">
        <v>45</v>
      </c>
      <c r="OV12" s="36">
        <v>2500</v>
      </c>
      <c r="OW12" s="36">
        <v>18</v>
      </c>
      <c r="OX12" s="33">
        <v>32.083101133</v>
      </c>
      <c r="OY12" s="36">
        <v>9109</v>
      </c>
      <c r="OZ12" s="36">
        <v>78.001370097999995</v>
      </c>
      <c r="PA12" s="36">
        <v>75.803727727999998</v>
      </c>
      <c r="PB12" s="33">
        <v>80.199012467000003</v>
      </c>
      <c r="PC12" s="37">
        <v>1804</v>
      </c>
      <c r="PD12" s="36">
        <v>16.064113979999998</v>
      </c>
      <c r="PE12" s="36">
        <v>13.81410773</v>
      </c>
      <c r="PF12" s="33">
        <v>18.314120231</v>
      </c>
      <c r="PG12" s="45">
        <v>81.358109264999996</v>
      </c>
      <c r="PH12" s="36">
        <v>9501</v>
      </c>
      <c r="PI12" s="36">
        <v>79.478635436000005</v>
      </c>
      <c r="PJ12" s="33">
        <v>83.237583094000001</v>
      </c>
      <c r="PK12" s="33">
        <v>26897</v>
      </c>
      <c r="PL12" s="33">
        <f t="shared" si="3"/>
        <v>5204</v>
      </c>
      <c r="PM12" s="35">
        <v>19.347882663</v>
      </c>
      <c r="PN12" s="33">
        <f t="shared" si="4"/>
        <v>6351</v>
      </c>
      <c r="PO12" s="35">
        <v>23.612298768999999</v>
      </c>
      <c r="PP12" s="36">
        <v>201</v>
      </c>
      <c r="PQ12" s="35">
        <v>0.74729523740000003</v>
      </c>
      <c r="PR12" s="36">
        <v>160</v>
      </c>
      <c r="PS12" s="35">
        <v>0.5948618805</v>
      </c>
      <c r="PT12" s="36">
        <v>139</v>
      </c>
      <c r="PU12" s="35">
        <v>0.51678625869999995</v>
      </c>
      <c r="PV12" s="36">
        <v>9</v>
      </c>
      <c r="PW12" s="35">
        <v>3.3460980799999998E-2</v>
      </c>
      <c r="PX12" s="36">
        <v>413</v>
      </c>
      <c r="PY12" s="35">
        <v>1.5354872290999999</v>
      </c>
      <c r="PZ12" s="36">
        <v>25512</v>
      </c>
      <c r="QA12" s="35">
        <v>94.850726847000004</v>
      </c>
      <c r="QB12" s="36">
        <v>61</v>
      </c>
      <c r="QC12" s="36">
        <v>0.23882233180000001</v>
      </c>
      <c r="QD12" s="36">
        <v>0</v>
      </c>
      <c r="QE12" s="33">
        <v>0.5606950409</v>
      </c>
      <c r="QF12" s="35">
        <v>50.072498791999998</v>
      </c>
      <c r="QG12" s="38">
        <v>23227</v>
      </c>
      <c r="QH12" s="35">
        <v>85.296169805999995</v>
      </c>
    </row>
    <row r="13" spans="1:450" x14ac:dyDescent="0.25">
      <c r="A13">
        <v>50</v>
      </c>
      <c r="B13" t="s">
        <v>501</v>
      </c>
      <c r="C13" t="s">
        <v>502</v>
      </c>
      <c r="D13">
        <v>50021</v>
      </c>
      <c r="E13" t="s">
        <v>534</v>
      </c>
      <c r="F13">
        <v>50021</v>
      </c>
      <c r="G13" t="s">
        <v>535</v>
      </c>
      <c r="H13">
        <v>929.72222637710195</v>
      </c>
      <c r="I13">
        <v>58527</v>
      </c>
      <c r="J13">
        <v>0</v>
      </c>
      <c r="K13">
        <v>34552</v>
      </c>
      <c r="L13">
        <v>157</v>
      </c>
      <c r="M13">
        <v>25349</v>
      </c>
      <c r="N13">
        <v>435</v>
      </c>
      <c r="O13" s="8">
        <v>10349</v>
      </c>
      <c r="P13">
        <v>879</v>
      </c>
      <c r="Q13" s="9">
        <v>1065</v>
      </c>
      <c r="R13">
        <v>229</v>
      </c>
      <c r="S13" s="10">
        <v>7720</v>
      </c>
      <c r="T13">
        <v>545</v>
      </c>
      <c r="U13" s="11">
        <v>2683</v>
      </c>
      <c r="V13">
        <v>368</v>
      </c>
      <c r="W13" s="12">
        <v>2644</v>
      </c>
      <c r="X13">
        <v>369</v>
      </c>
      <c r="Y13" s="13">
        <v>12893</v>
      </c>
      <c r="Z13">
        <v>64</v>
      </c>
      <c r="AA13" s="14">
        <v>10351</v>
      </c>
      <c r="AB13">
        <v>59</v>
      </c>
      <c r="AC13" s="8">
        <v>8953</v>
      </c>
      <c r="AD13">
        <v>621</v>
      </c>
      <c r="AE13" s="9">
        <v>1072</v>
      </c>
      <c r="AF13">
        <v>204</v>
      </c>
      <c r="AG13" s="10">
        <v>131</v>
      </c>
      <c r="AH13">
        <v>101</v>
      </c>
      <c r="AI13" s="11">
        <v>3095</v>
      </c>
      <c r="AJ13">
        <v>296</v>
      </c>
      <c r="AK13" s="12">
        <v>2540</v>
      </c>
      <c r="AL13">
        <v>241</v>
      </c>
      <c r="AM13" s="13">
        <v>2015</v>
      </c>
      <c r="AN13">
        <v>253</v>
      </c>
      <c r="AO13" s="14">
        <v>1067</v>
      </c>
      <c r="AP13">
        <v>241</v>
      </c>
      <c r="AQ13" s="8">
        <v>1922</v>
      </c>
      <c r="AR13">
        <v>300</v>
      </c>
      <c r="AS13" s="9">
        <v>2206</v>
      </c>
      <c r="AT13">
        <v>305</v>
      </c>
      <c r="AU13">
        <v>18.3</v>
      </c>
      <c r="AV13">
        <v>1.6</v>
      </c>
      <c r="AW13">
        <v>3.5</v>
      </c>
      <c r="AX13">
        <v>0.8</v>
      </c>
      <c r="AY13">
        <v>30.5</v>
      </c>
      <c r="AZ13">
        <v>2.1</v>
      </c>
      <c r="BA13">
        <v>6.3</v>
      </c>
      <c r="BB13">
        <v>0.9</v>
      </c>
      <c r="BC13">
        <v>4.5999999999999996</v>
      </c>
      <c r="BD13">
        <v>0.6</v>
      </c>
      <c r="BE13">
        <v>22</v>
      </c>
      <c r="BF13">
        <v>0.1</v>
      </c>
      <c r="BG13">
        <v>17.7</v>
      </c>
      <c r="BH13">
        <v>0.1</v>
      </c>
      <c r="BI13">
        <v>15.4</v>
      </c>
      <c r="BJ13">
        <v>1.1000000000000001</v>
      </c>
      <c r="BK13">
        <v>4.2</v>
      </c>
      <c r="BL13">
        <v>0.8</v>
      </c>
      <c r="BM13">
        <v>0.2</v>
      </c>
      <c r="BN13">
        <v>0.2</v>
      </c>
      <c r="BO13">
        <v>5.3</v>
      </c>
      <c r="BP13">
        <v>0.5</v>
      </c>
      <c r="BQ13">
        <v>7.4</v>
      </c>
      <c r="BR13">
        <v>0.7</v>
      </c>
      <c r="BS13">
        <v>5.8</v>
      </c>
      <c r="BT13">
        <v>0.7</v>
      </c>
      <c r="BU13">
        <v>4.2</v>
      </c>
      <c r="BV13">
        <v>0.9</v>
      </c>
      <c r="BW13">
        <v>7.6</v>
      </c>
      <c r="BX13">
        <v>1.2</v>
      </c>
      <c r="BY13">
        <v>3.8</v>
      </c>
      <c r="BZ13">
        <v>0.5</v>
      </c>
      <c r="CA13">
        <v>0.53849999999999998</v>
      </c>
      <c r="CB13">
        <v>0.15379999999999999</v>
      </c>
      <c r="CC13">
        <v>0.92310000000000003</v>
      </c>
      <c r="CD13">
        <v>0.46150000000000002</v>
      </c>
      <c r="CE13">
        <v>0.61539999999999995</v>
      </c>
      <c r="CF13">
        <v>2.6922999999999999</v>
      </c>
      <c r="CG13">
        <v>0.61539999999999995</v>
      </c>
      <c r="CH13">
        <v>0.61539999999999995</v>
      </c>
      <c r="CI13">
        <v>0.23080000000000001</v>
      </c>
      <c r="CJ13">
        <v>0.53849999999999998</v>
      </c>
      <c r="CK13">
        <v>0.15379999999999999</v>
      </c>
      <c r="CL13">
        <v>0.23080000000000001</v>
      </c>
      <c r="CM13">
        <v>1.7693000000000001</v>
      </c>
      <c r="CN13">
        <v>0.23080000000000001</v>
      </c>
      <c r="CO13">
        <v>0.23080000000000001</v>
      </c>
      <c r="CP13">
        <v>0.23080000000000001</v>
      </c>
      <c r="CQ13">
        <v>0.23080000000000001</v>
      </c>
      <c r="CR13">
        <v>0.92310000000000003</v>
      </c>
      <c r="CS13">
        <v>0.30769999999999997</v>
      </c>
      <c r="CT13">
        <v>1</v>
      </c>
      <c r="CU13">
        <v>0.76919999999999999</v>
      </c>
      <c r="CV13">
        <v>0.61539999999999995</v>
      </c>
      <c r="CW13">
        <v>3.6154000000000002</v>
      </c>
      <c r="CX13">
        <v>1</v>
      </c>
      <c r="CY13">
        <v>8.3078000000000003</v>
      </c>
      <c r="CZ13">
        <v>0.61539999999999995</v>
      </c>
      <c r="DA13">
        <v>0</v>
      </c>
      <c r="DB13">
        <v>0</v>
      </c>
      <c r="DC13">
        <v>1</v>
      </c>
      <c r="DD13">
        <v>0</v>
      </c>
      <c r="DE13">
        <v>0</v>
      </c>
      <c r="DF13">
        <v>1</v>
      </c>
      <c r="DG13">
        <v>0</v>
      </c>
      <c r="DH13">
        <v>0</v>
      </c>
      <c r="DI13">
        <v>0</v>
      </c>
      <c r="DJ13">
        <v>0</v>
      </c>
      <c r="DK13">
        <v>0</v>
      </c>
      <c r="DL13">
        <v>0</v>
      </c>
      <c r="DM13">
        <v>0</v>
      </c>
      <c r="DN13">
        <v>0</v>
      </c>
      <c r="DO13">
        <v>1</v>
      </c>
      <c r="DP13">
        <v>0</v>
      </c>
      <c r="DQ13">
        <v>1</v>
      </c>
      <c r="DR13">
        <v>0</v>
      </c>
      <c r="DS13">
        <v>0</v>
      </c>
      <c r="DT13">
        <v>2</v>
      </c>
      <c r="DU13">
        <v>3</v>
      </c>
      <c r="DV13">
        <v>57448</v>
      </c>
      <c r="DW13">
        <v>8099</v>
      </c>
      <c r="DX13">
        <v>983</v>
      </c>
      <c r="DY13" s="8">
        <v>397</v>
      </c>
      <c r="DZ13">
        <v>99</v>
      </c>
      <c r="EA13" s="9">
        <v>903</v>
      </c>
      <c r="EB13">
        <v>0</v>
      </c>
      <c r="EC13" s="10">
        <v>491</v>
      </c>
      <c r="ED13">
        <v>74</v>
      </c>
      <c r="EE13" s="11">
        <v>68</v>
      </c>
      <c r="EF13">
        <v>63</v>
      </c>
      <c r="EG13" s="12">
        <v>0</v>
      </c>
      <c r="EH13">
        <v>23</v>
      </c>
      <c r="EI13" s="13">
        <v>1203</v>
      </c>
      <c r="EJ13">
        <v>257</v>
      </c>
      <c r="EK13" s="14">
        <v>33</v>
      </c>
      <c r="EL13">
        <v>33</v>
      </c>
      <c r="EM13">
        <v>14.4</v>
      </c>
      <c r="EN13">
        <v>0.1</v>
      </c>
      <c r="EO13">
        <v>0.7</v>
      </c>
      <c r="EP13">
        <v>0.2</v>
      </c>
      <c r="EQ13">
        <v>1.5</v>
      </c>
      <c r="ER13">
        <v>0</v>
      </c>
      <c r="ES13">
        <v>0.8</v>
      </c>
      <c r="ET13">
        <v>0.1</v>
      </c>
      <c r="EU13">
        <v>0.1</v>
      </c>
      <c r="EV13">
        <v>0.1</v>
      </c>
      <c r="EW13">
        <v>0</v>
      </c>
      <c r="EX13">
        <v>0.1</v>
      </c>
      <c r="EY13">
        <v>2.1</v>
      </c>
      <c r="EZ13">
        <v>0.4</v>
      </c>
      <c r="FA13">
        <v>0.1</v>
      </c>
      <c r="FB13">
        <v>0.1</v>
      </c>
      <c r="FC13" s="32"/>
      <c r="FD13" s="33"/>
      <c r="FE13" s="34">
        <v>77.218169615999997</v>
      </c>
      <c r="FF13" s="34">
        <v>76.482140154000007</v>
      </c>
      <c r="FG13" s="34">
        <v>77.954199078000002</v>
      </c>
      <c r="FH13" s="34"/>
      <c r="FI13" s="34"/>
      <c r="FJ13" s="34"/>
      <c r="FK13" s="34"/>
      <c r="FL13" s="34"/>
      <c r="FM13" s="34"/>
      <c r="FN13" s="34"/>
      <c r="FO13" s="34"/>
      <c r="FP13" s="34"/>
      <c r="FQ13" s="34"/>
      <c r="FR13" s="34"/>
      <c r="FS13" s="34"/>
      <c r="FT13" s="34"/>
      <c r="FU13" s="34"/>
      <c r="FV13" s="35"/>
      <c r="FW13" s="36">
        <v>953</v>
      </c>
      <c r="FX13" s="36">
        <v>390.46469473000002</v>
      </c>
      <c r="FY13" s="36">
        <v>362.65837871999997</v>
      </c>
      <c r="FZ13" s="36">
        <v>418.27101073</v>
      </c>
      <c r="GA13" s="36"/>
      <c r="GB13" s="36"/>
      <c r="GC13" s="36"/>
      <c r="GD13" s="36"/>
      <c r="GE13" s="36"/>
      <c r="GF13" s="36"/>
      <c r="GG13" s="36"/>
      <c r="GH13" s="36"/>
      <c r="GI13" s="36"/>
      <c r="GJ13" s="36"/>
      <c r="GK13" s="36"/>
      <c r="GL13" s="36"/>
      <c r="GM13" s="36"/>
      <c r="GN13" s="36"/>
      <c r="GO13" s="33"/>
      <c r="GP13" s="36">
        <v>19</v>
      </c>
      <c r="GQ13" s="36">
        <v>46.095247337000004</v>
      </c>
      <c r="GR13" s="36">
        <v>27.752350043</v>
      </c>
      <c r="GS13" s="36">
        <v>71.983438637000006</v>
      </c>
      <c r="GT13" s="36"/>
      <c r="GU13" s="36"/>
      <c r="GV13" s="36"/>
      <c r="GW13" s="36"/>
      <c r="GX13" s="36"/>
      <c r="GY13" s="36"/>
      <c r="GZ13" s="36"/>
      <c r="HA13" s="36"/>
      <c r="HB13" s="36"/>
      <c r="HC13" s="36"/>
      <c r="HD13" s="36"/>
      <c r="HE13" s="36"/>
      <c r="HF13" s="36"/>
      <c r="HG13" s="36"/>
      <c r="HH13" s="33"/>
      <c r="HI13" s="36"/>
      <c r="HJ13" s="36"/>
      <c r="HK13" s="36"/>
      <c r="HL13" s="36"/>
      <c r="HM13" s="36"/>
      <c r="HN13" s="36"/>
      <c r="HO13" s="36"/>
      <c r="HP13" s="36"/>
      <c r="HQ13" s="36"/>
      <c r="HR13" s="36"/>
      <c r="HS13" s="36"/>
      <c r="HT13" s="36"/>
      <c r="HU13" s="36"/>
      <c r="HV13" s="36"/>
      <c r="HW13" s="36"/>
      <c r="HX13" s="36"/>
      <c r="HY13" s="36"/>
      <c r="HZ13" s="36"/>
      <c r="IA13" s="33"/>
      <c r="IB13" s="37">
        <f t="shared" si="5"/>
        <v>6527</v>
      </c>
      <c r="IC13" s="38">
        <v>11.3</v>
      </c>
      <c r="ID13" s="36">
        <v>10</v>
      </c>
      <c r="IE13" s="33">
        <v>12.6</v>
      </c>
      <c r="IF13" s="37">
        <f t="shared" si="0"/>
        <v>8780</v>
      </c>
      <c r="IG13" s="38">
        <v>15.2</v>
      </c>
      <c r="IH13" s="36">
        <v>13.5</v>
      </c>
      <c r="II13" s="33">
        <v>16.8</v>
      </c>
      <c r="IJ13" s="37">
        <f t="shared" si="1"/>
        <v>4275</v>
      </c>
      <c r="IK13" s="38">
        <v>7.4</v>
      </c>
      <c r="IL13" s="36">
        <v>6.7</v>
      </c>
      <c r="IM13" s="33">
        <v>8.1</v>
      </c>
      <c r="IN13" s="37">
        <v>16</v>
      </c>
      <c r="IO13" s="33">
        <v>31.3</v>
      </c>
      <c r="IP13" s="37">
        <v>6330</v>
      </c>
      <c r="IQ13" s="33">
        <v>10.7</v>
      </c>
      <c r="IR13" s="37">
        <v>3029.5257517999999</v>
      </c>
      <c r="IS13" s="33">
        <v>4.9147103464999997</v>
      </c>
      <c r="IT13" s="37">
        <v>61</v>
      </c>
      <c r="IU13" s="36">
        <v>34.931597060999998</v>
      </c>
      <c r="IV13" s="36">
        <v>26.719903887000001</v>
      </c>
      <c r="IW13" s="36">
        <v>44.871097777000003</v>
      </c>
      <c r="IX13" s="36"/>
      <c r="IY13" s="36"/>
      <c r="IZ13" s="36"/>
      <c r="JA13" s="36"/>
      <c r="JB13" s="36"/>
      <c r="JC13" s="36"/>
      <c r="JD13" s="36"/>
      <c r="JE13" s="36"/>
      <c r="JF13" s="36"/>
      <c r="JG13" s="36"/>
      <c r="JH13" s="36"/>
      <c r="JI13" s="36"/>
      <c r="JJ13" s="36"/>
      <c r="JK13" s="36"/>
      <c r="JL13" s="33"/>
      <c r="JM13" s="36">
        <v>37</v>
      </c>
      <c r="JN13" s="36">
        <v>8.9621796021000009</v>
      </c>
      <c r="JO13" s="36">
        <v>6.3102015199999997</v>
      </c>
      <c r="JP13" s="36">
        <v>12.35318403</v>
      </c>
      <c r="JQ13" s="36"/>
      <c r="JR13" s="36"/>
      <c r="JS13" s="36"/>
      <c r="JT13" s="36"/>
      <c r="JU13" s="36"/>
      <c r="JV13" s="36"/>
      <c r="JW13" s="36"/>
      <c r="JX13" s="36"/>
      <c r="JY13" s="36"/>
      <c r="JZ13" s="36"/>
      <c r="KA13" s="36"/>
      <c r="KB13" s="36"/>
      <c r="KC13" s="36"/>
      <c r="KD13" s="36"/>
      <c r="KE13" s="33"/>
      <c r="KF13" s="37">
        <f t="shared" si="2"/>
        <v>18455</v>
      </c>
      <c r="KG13" s="38">
        <v>31.949441629999999</v>
      </c>
      <c r="KH13" s="36">
        <v>30.202693320000002</v>
      </c>
      <c r="KI13" s="33">
        <v>33.557891261999998</v>
      </c>
      <c r="KJ13" s="37">
        <v>2232</v>
      </c>
      <c r="KK13" s="36">
        <v>6.7348601429999997</v>
      </c>
      <c r="KL13" s="36">
        <v>5.6625197175000004</v>
      </c>
      <c r="KM13" s="33">
        <v>7.8072005685999999</v>
      </c>
      <c r="KN13" s="37">
        <v>167</v>
      </c>
      <c r="KO13" s="36">
        <v>1.5894165793999999</v>
      </c>
      <c r="KP13" s="36">
        <v>1.1128208346999999</v>
      </c>
      <c r="KQ13" s="33">
        <v>2.0660123240999999</v>
      </c>
      <c r="KR13" s="36">
        <v>138.49456000000001</v>
      </c>
      <c r="KS13" s="39" t="s">
        <v>536</v>
      </c>
      <c r="KT13" s="36">
        <v>508</v>
      </c>
      <c r="KU13" s="33">
        <v>84.146653542999999</v>
      </c>
      <c r="KV13" s="36">
        <v>9.1370558376000002</v>
      </c>
      <c r="KW13" s="36">
        <v>4.2741150099</v>
      </c>
      <c r="KX13" s="33">
        <v>13.999996664999999</v>
      </c>
      <c r="KY13" s="34"/>
      <c r="KZ13" s="34"/>
      <c r="LA13" s="34"/>
      <c r="LB13" s="34"/>
      <c r="LC13" s="35"/>
      <c r="LD13" s="34"/>
      <c r="LE13" s="34"/>
      <c r="LF13" s="34"/>
      <c r="LG13" s="34"/>
      <c r="LH13" s="35"/>
      <c r="LI13" s="40">
        <v>9.9794348699999993E-2</v>
      </c>
      <c r="LJ13" s="36"/>
      <c r="LK13" s="33"/>
      <c r="LL13" s="36">
        <v>41412</v>
      </c>
      <c r="LM13" s="36">
        <v>46935</v>
      </c>
      <c r="LN13" s="41">
        <v>0.8823266219</v>
      </c>
      <c r="LO13" s="41">
        <v>0.81503280379999998</v>
      </c>
      <c r="LP13" s="40">
        <v>0.94962044000000001</v>
      </c>
      <c r="LQ13" s="36">
        <v>62289</v>
      </c>
      <c r="LR13" s="36">
        <v>57279.978723</v>
      </c>
      <c r="LS13" s="36">
        <v>67298.021277000007</v>
      </c>
      <c r="LT13" s="36"/>
      <c r="LU13" s="36"/>
      <c r="LV13" s="36"/>
      <c r="LW13" s="36"/>
      <c r="LX13" s="36"/>
      <c r="LY13" s="36"/>
      <c r="LZ13" s="36">
        <v>76071</v>
      </c>
      <c r="MA13" s="36">
        <v>75550.319149000003</v>
      </c>
      <c r="MB13" s="36">
        <v>76591.680850999997</v>
      </c>
      <c r="MC13" s="36">
        <v>35513</v>
      </c>
      <c r="MD13" s="36">
        <v>26813.936170000001</v>
      </c>
      <c r="ME13" s="36">
        <v>44212.063829999999</v>
      </c>
      <c r="MF13" s="36">
        <v>57602</v>
      </c>
      <c r="MG13" s="36">
        <v>54591.106382999998</v>
      </c>
      <c r="MH13" s="33">
        <v>60612.893617000002</v>
      </c>
      <c r="MI13" s="42">
        <v>41.110667198999998</v>
      </c>
      <c r="MJ13" s="33">
        <v>78.298191610999993</v>
      </c>
      <c r="MK13" s="33">
        <v>37.531540329000002</v>
      </c>
      <c r="ML13" s="42">
        <v>27.311403297999998</v>
      </c>
      <c r="MM13" s="36">
        <v>70</v>
      </c>
      <c r="MN13" s="33">
        <v>27.354435326000001</v>
      </c>
      <c r="MO13" s="36">
        <v>2.9066528438999999</v>
      </c>
      <c r="MP13" s="36">
        <v>1.5019099395</v>
      </c>
      <c r="MQ13" s="36">
        <v>5.0773375660999998</v>
      </c>
      <c r="MR13" s="36"/>
      <c r="MS13" s="36"/>
      <c r="MT13" s="36"/>
      <c r="MU13" s="36"/>
      <c r="MV13" s="36"/>
      <c r="MW13" s="36"/>
      <c r="MX13" s="36"/>
      <c r="MY13" s="36"/>
      <c r="MZ13" s="36"/>
      <c r="NA13" s="36"/>
      <c r="NB13" s="36"/>
      <c r="NC13" s="36"/>
      <c r="ND13" s="36"/>
      <c r="NE13" s="36"/>
      <c r="NF13" s="33"/>
      <c r="NG13" s="37">
        <v>64</v>
      </c>
      <c r="NH13" s="36">
        <v>22.030608195999999</v>
      </c>
      <c r="NI13" s="36">
        <v>16.596469070000001</v>
      </c>
      <c r="NJ13" s="36">
        <v>28.675864764</v>
      </c>
      <c r="NK13" s="36">
        <v>21.841214372</v>
      </c>
      <c r="NL13" s="36"/>
      <c r="NM13" s="36"/>
      <c r="NN13" s="36"/>
      <c r="NO13" s="36"/>
      <c r="NP13" s="36"/>
      <c r="NQ13" s="36"/>
      <c r="NR13" s="36"/>
      <c r="NS13" s="36"/>
      <c r="NT13" s="36"/>
      <c r="NU13" s="36"/>
      <c r="NV13" s="36"/>
      <c r="NW13" s="36"/>
      <c r="NX13" s="36"/>
      <c r="NY13" s="36"/>
      <c r="NZ13" s="33"/>
      <c r="OA13" s="37">
        <v>46</v>
      </c>
      <c r="OB13" s="36">
        <v>15.69837283</v>
      </c>
      <c r="OC13" s="36">
        <v>11.493181927</v>
      </c>
      <c r="OD13" s="36">
        <v>20.939429436000001</v>
      </c>
      <c r="OE13" s="36"/>
      <c r="OF13" s="36"/>
      <c r="OG13" s="36"/>
      <c r="OH13" s="36"/>
      <c r="OI13" s="36"/>
      <c r="OJ13" s="36"/>
      <c r="OK13" s="36"/>
      <c r="OL13" s="36"/>
      <c r="OM13" s="36"/>
      <c r="ON13" s="36"/>
      <c r="OO13" s="36"/>
      <c r="OP13" s="36"/>
      <c r="OQ13" s="36"/>
      <c r="OR13" s="36"/>
      <c r="OS13" s="33"/>
      <c r="OT13" s="43"/>
      <c r="OU13" s="44">
        <v>108</v>
      </c>
      <c r="OV13" s="36">
        <v>4800</v>
      </c>
      <c r="OW13" s="36">
        <v>22.5</v>
      </c>
      <c r="OX13" s="33">
        <v>153.08853189999999</v>
      </c>
      <c r="OY13" s="36">
        <v>18126</v>
      </c>
      <c r="OZ13" s="36">
        <v>71.505779321000006</v>
      </c>
      <c r="PA13" s="36">
        <v>70.123912649000005</v>
      </c>
      <c r="PB13" s="33">
        <v>72.887645992000003</v>
      </c>
      <c r="PC13" s="37">
        <v>3634</v>
      </c>
      <c r="PD13" s="36">
        <v>14.671565263</v>
      </c>
      <c r="PE13" s="36">
        <v>12.831312736999999</v>
      </c>
      <c r="PF13" s="33">
        <v>16.511817788999998</v>
      </c>
      <c r="PG13" s="45">
        <v>81.245808513</v>
      </c>
      <c r="PH13" s="36">
        <v>20595</v>
      </c>
      <c r="PI13" s="36">
        <v>79.485094382</v>
      </c>
      <c r="PJ13" s="33">
        <v>83.006522644</v>
      </c>
      <c r="PK13" s="33">
        <v>57764</v>
      </c>
      <c r="PL13" s="33">
        <f t="shared" si="3"/>
        <v>10024</v>
      </c>
      <c r="PM13" s="35">
        <v>17.353368880000001</v>
      </c>
      <c r="PN13" s="33">
        <f t="shared" si="4"/>
        <v>13626</v>
      </c>
      <c r="PO13" s="35">
        <v>23.589086628</v>
      </c>
      <c r="PP13" s="36">
        <v>424</v>
      </c>
      <c r="PQ13" s="35">
        <v>0.73402118969999997</v>
      </c>
      <c r="PR13" s="36">
        <v>166</v>
      </c>
      <c r="PS13" s="35">
        <v>0.2873762205</v>
      </c>
      <c r="PT13" s="36">
        <v>509</v>
      </c>
      <c r="PU13" s="35">
        <v>0.88117166400000002</v>
      </c>
      <c r="PV13" s="36">
        <v>15</v>
      </c>
      <c r="PW13" s="35">
        <v>2.5967730800000002E-2</v>
      </c>
      <c r="PX13" s="36">
        <v>975</v>
      </c>
      <c r="PY13" s="35">
        <v>1.6879024998000001</v>
      </c>
      <c r="PZ13" s="36">
        <v>54907</v>
      </c>
      <c r="QA13" s="35">
        <v>95.054012880000002</v>
      </c>
      <c r="QB13" s="36">
        <v>131</v>
      </c>
      <c r="QC13" s="36">
        <v>0.23406232129999999</v>
      </c>
      <c r="QD13" s="36">
        <v>1.7397600400000001E-2</v>
      </c>
      <c r="QE13" s="33">
        <v>0.45072704229999999</v>
      </c>
      <c r="QF13" s="35">
        <v>50.467419153999998</v>
      </c>
      <c r="QG13" s="38">
        <v>37610</v>
      </c>
      <c r="QH13" s="35">
        <v>61.013594627000003</v>
      </c>
    </row>
    <row r="14" spans="1:450" x14ac:dyDescent="0.25">
      <c r="A14">
        <v>50</v>
      </c>
      <c r="B14" t="s">
        <v>501</v>
      </c>
      <c r="C14" t="s">
        <v>502</v>
      </c>
      <c r="D14">
        <v>50023</v>
      </c>
      <c r="E14" t="s">
        <v>537</v>
      </c>
      <c r="F14">
        <v>50023</v>
      </c>
      <c r="G14" t="s">
        <v>538</v>
      </c>
      <c r="H14">
        <v>686.57792509608601</v>
      </c>
      <c r="I14">
        <v>58336</v>
      </c>
      <c r="J14">
        <v>0</v>
      </c>
      <c r="K14">
        <v>30894</v>
      </c>
      <c r="L14">
        <v>194</v>
      </c>
      <c r="M14">
        <v>25310</v>
      </c>
      <c r="N14">
        <v>367</v>
      </c>
      <c r="O14" s="8">
        <v>10177</v>
      </c>
      <c r="P14">
        <v>852</v>
      </c>
      <c r="Q14" s="9">
        <v>1029</v>
      </c>
      <c r="R14">
        <v>216</v>
      </c>
      <c r="S14" s="10">
        <v>6700</v>
      </c>
      <c r="T14">
        <v>543</v>
      </c>
      <c r="U14" s="11">
        <v>2414</v>
      </c>
      <c r="V14">
        <v>317</v>
      </c>
      <c r="W14" s="12">
        <v>1927</v>
      </c>
      <c r="X14">
        <v>310</v>
      </c>
      <c r="Y14" s="13">
        <v>11406</v>
      </c>
      <c r="Z14">
        <v>96</v>
      </c>
      <c r="AA14" s="14">
        <v>10926</v>
      </c>
      <c r="AB14">
        <v>0</v>
      </c>
      <c r="AC14" s="8">
        <v>7602</v>
      </c>
      <c r="AD14">
        <v>627</v>
      </c>
      <c r="AE14" s="9">
        <v>1776</v>
      </c>
      <c r="AF14">
        <v>260</v>
      </c>
      <c r="AG14" s="10">
        <v>108</v>
      </c>
      <c r="AH14">
        <v>97</v>
      </c>
      <c r="AI14" s="11">
        <v>3672</v>
      </c>
      <c r="AJ14">
        <v>269</v>
      </c>
      <c r="AK14" s="12">
        <v>1675</v>
      </c>
      <c r="AL14">
        <v>303</v>
      </c>
      <c r="AM14" s="13">
        <v>1675</v>
      </c>
      <c r="AN14">
        <v>225</v>
      </c>
      <c r="AO14" s="14">
        <v>211</v>
      </c>
      <c r="AP14">
        <v>87</v>
      </c>
      <c r="AQ14" s="8">
        <v>2033</v>
      </c>
      <c r="AR14">
        <v>300</v>
      </c>
      <c r="AS14" s="9">
        <v>2378</v>
      </c>
      <c r="AT14">
        <v>435</v>
      </c>
      <c r="AU14">
        <v>18.2</v>
      </c>
      <c r="AV14">
        <v>1.5</v>
      </c>
      <c r="AW14">
        <v>3.2</v>
      </c>
      <c r="AX14">
        <v>0.7</v>
      </c>
      <c r="AY14">
        <v>26.5</v>
      </c>
      <c r="AZ14">
        <v>2.1</v>
      </c>
      <c r="BA14">
        <v>5.8</v>
      </c>
      <c r="BB14">
        <v>0.8</v>
      </c>
      <c r="BC14">
        <v>3.3</v>
      </c>
      <c r="BD14">
        <v>0.5</v>
      </c>
      <c r="BE14">
        <v>19.600000000000001</v>
      </c>
      <c r="BF14">
        <v>0.2</v>
      </c>
      <c r="BG14">
        <v>18.7</v>
      </c>
      <c r="BH14">
        <v>0</v>
      </c>
      <c r="BI14">
        <v>13.2</v>
      </c>
      <c r="BJ14">
        <v>1.1000000000000001</v>
      </c>
      <c r="BK14">
        <v>7</v>
      </c>
      <c r="BL14">
        <v>1</v>
      </c>
      <c r="BM14">
        <v>0.2</v>
      </c>
      <c r="BN14">
        <v>0.2</v>
      </c>
      <c r="BO14">
        <v>6.3</v>
      </c>
      <c r="BP14">
        <v>0.5</v>
      </c>
      <c r="BQ14">
        <v>5.4</v>
      </c>
      <c r="BR14">
        <v>1</v>
      </c>
      <c r="BS14">
        <v>5.4</v>
      </c>
      <c r="BT14">
        <v>0.7</v>
      </c>
      <c r="BU14">
        <v>0.8</v>
      </c>
      <c r="BV14">
        <v>0.3</v>
      </c>
      <c r="BW14">
        <v>8</v>
      </c>
      <c r="BX14">
        <v>1.2</v>
      </c>
      <c r="BY14">
        <v>4.0999999999999996</v>
      </c>
      <c r="BZ14">
        <v>0.7</v>
      </c>
      <c r="CA14">
        <v>0.46150000000000002</v>
      </c>
      <c r="CB14">
        <v>7.6899999999999996E-2</v>
      </c>
      <c r="CC14">
        <v>0.76919999999999999</v>
      </c>
      <c r="CD14">
        <v>0.15379999999999999</v>
      </c>
      <c r="CE14">
        <v>0.15379999999999999</v>
      </c>
      <c r="CF14">
        <v>1.6152</v>
      </c>
      <c r="CG14">
        <v>0.15379999999999999</v>
      </c>
      <c r="CH14">
        <v>0.23080000000000001</v>
      </c>
      <c r="CI14">
        <v>0.61539999999999995</v>
      </c>
      <c r="CJ14">
        <v>0.23080000000000001</v>
      </c>
      <c r="CK14">
        <v>1</v>
      </c>
      <c r="CL14">
        <v>0.23080000000000001</v>
      </c>
      <c r="CM14">
        <v>2.3077999999999999</v>
      </c>
      <c r="CN14">
        <v>0.46150000000000002</v>
      </c>
      <c r="CO14">
        <v>0.53849999999999998</v>
      </c>
      <c r="CP14">
        <v>0.53849999999999998</v>
      </c>
      <c r="CQ14">
        <v>0.53849999999999998</v>
      </c>
      <c r="CR14">
        <v>0.84619999999999995</v>
      </c>
      <c r="CS14">
        <v>0.15379999999999999</v>
      </c>
      <c r="CT14">
        <v>7.6899999999999996E-2</v>
      </c>
      <c r="CU14">
        <v>0.84619999999999995</v>
      </c>
      <c r="CV14">
        <v>0.69230000000000003</v>
      </c>
      <c r="CW14">
        <v>2.6154000000000002</v>
      </c>
      <c r="CX14">
        <v>0.53849999999999998</v>
      </c>
      <c r="CY14">
        <v>7.0769000000000002</v>
      </c>
      <c r="CZ14">
        <v>0.15379999999999999</v>
      </c>
      <c r="DA14">
        <v>0</v>
      </c>
      <c r="DB14">
        <v>0</v>
      </c>
      <c r="DC14">
        <v>0</v>
      </c>
      <c r="DD14">
        <v>0</v>
      </c>
      <c r="DE14">
        <v>0</v>
      </c>
      <c r="DF14">
        <v>0</v>
      </c>
      <c r="DG14">
        <v>0</v>
      </c>
      <c r="DH14">
        <v>0</v>
      </c>
      <c r="DI14">
        <v>0</v>
      </c>
      <c r="DJ14">
        <v>1</v>
      </c>
      <c r="DK14">
        <v>0</v>
      </c>
      <c r="DL14">
        <v>1</v>
      </c>
      <c r="DM14">
        <v>0</v>
      </c>
      <c r="DN14">
        <v>0</v>
      </c>
      <c r="DO14">
        <v>0</v>
      </c>
      <c r="DP14">
        <v>0</v>
      </c>
      <c r="DQ14">
        <v>0</v>
      </c>
      <c r="DR14">
        <v>0</v>
      </c>
      <c r="DS14">
        <v>0</v>
      </c>
      <c r="DT14">
        <v>0</v>
      </c>
      <c r="DU14">
        <v>1</v>
      </c>
      <c r="DV14">
        <v>61037</v>
      </c>
      <c r="DW14">
        <v>6573</v>
      </c>
      <c r="DX14">
        <v>912</v>
      </c>
      <c r="DY14" s="8">
        <v>446</v>
      </c>
      <c r="DZ14">
        <v>99</v>
      </c>
      <c r="EA14" s="9">
        <v>1147</v>
      </c>
      <c r="EB14">
        <v>0</v>
      </c>
      <c r="EC14" s="10">
        <v>545</v>
      </c>
      <c r="ED14">
        <v>104</v>
      </c>
      <c r="EE14" s="11">
        <v>80</v>
      </c>
      <c r="EF14">
        <v>58</v>
      </c>
      <c r="EG14" s="12">
        <v>42</v>
      </c>
      <c r="EH14">
        <v>34</v>
      </c>
      <c r="EI14" s="13">
        <v>1274</v>
      </c>
      <c r="EJ14">
        <v>186</v>
      </c>
      <c r="EK14" s="14">
        <v>138</v>
      </c>
      <c r="EL14">
        <v>138</v>
      </c>
      <c r="EM14">
        <v>11.7</v>
      </c>
      <c r="EN14">
        <v>0.1</v>
      </c>
      <c r="EO14">
        <v>0.8</v>
      </c>
      <c r="EP14">
        <v>0.2</v>
      </c>
      <c r="EQ14">
        <v>2</v>
      </c>
      <c r="ER14">
        <v>0</v>
      </c>
      <c r="ES14">
        <v>0.9</v>
      </c>
      <c r="ET14">
        <v>0.2</v>
      </c>
      <c r="EU14">
        <v>0.1</v>
      </c>
      <c r="EV14">
        <v>0.1</v>
      </c>
      <c r="EW14">
        <v>0.1</v>
      </c>
      <c r="EX14">
        <v>0.1</v>
      </c>
      <c r="EY14">
        <v>2.2000000000000002</v>
      </c>
      <c r="EZ14">
        <v>0.3</v>
      </c>
      <c r="FA14">
        <v>0.2</v>
      </c>
      <c r="FB14">
        <v>0.2</v>
      </c>
      <c r="FC14" s="32"/>
      <c r="FD14" s="33"/>
      <c r="FE14" s="34">
        <v>79.751549917999995</v>
      </c>
      <c r="FF14" s="34">
        <v>79.020334614999996</v>
      </c>
      <c r="FG14" s="34">
        <v>80.482765220999994</v>
      </c>
      <c r="FH14" s="34"/>
      <c r="FI14" s="34"/>
      <c r="FJ14" s="34"/>
      <c r="FK14" s="34"/>
      <c r="FL14" s="34"/>
      <c r="FM14" s="34"/>
      <c r="FN14" s="34"/>
      <c r="FO14" s="34"/>
      <c r="FP14" s="34"/>
      <c r="FQ14" s="34"/>
      <c r="FR14" s="34"/>
      <c r="FS14" s="34"/>
      <c r="FT14" s="34"/>
      <c r="FU14" s="34"/>
      <c r="FV14" s="35"/>
      <c r="FW14" s="36">
        <v>669</v>
      </c>
      <c r="FX14" s="36">
        <v>293.94243807999999</v>
      </c>
      <c r="FY14" s="36">
        <v>269.93689045000002</v>
      </c>
      <c r="FZ14" s="36">
        <v>317.9479857</v>
      </c>
      <c r="GA14" s="36"/>
      <c r="GB14" s="36"/>
      <c r="GC14" s="36"/>
      <c r="GD14" s="36"/>
      <c r="GE14" s="36"/>
      <c r="GF14" s="36"/>
      <c r="GG14" s="36"/>
      <c r="GH14" s="36"/>
      <c r="GI14" s="36"/>
      <c r="GJ14" s="36"/>
      <c r="GK14" s="36"/>
      <c r="GL14" s="36"/>
      <c r="GM14" s="36"/>
      <c r="GN14" s="36"/>
      <c r="GO14" s="33"/>
      <c r="GP14" s="36">
        <v>14</v>
      </c>
      <c r="GQ14" s="36">
        <v>32.252862442000001</v>
      </c>
      <c r="GR14" s="36">
        <v>17.632940024</v>
      </c>
      <c r="GS14" s="36">
        <v>54.114822775</v>
      </c>
      <c r="GT14" s="36"/>
      <c r="GU14" s="36"/>
      <c r="GV14" s="36"/>
      <c r="GW14" s="36"/>
      <c r="GX14" s="36"/>
      <c r="GY14" s="36"/>
      <c r="GZ14" s="36"/>
      <c r="HA14" s="36"/>
      <c r="HB14" s="36"/>
      <c r="HC14" s="36"/>
      <c r="HD14" s="36"/>
      <c r="HE14" s="36"/>
      <c r="HF14" s="36"/>
      <c r="HG14" s="36"/>
      <c r="HH14" s="33"/>
      <c r="HI14" s="36"/>
      <c r="HJ14" s="36"/>
      <c r="HK14" s="36"/>
      <c r="HL14" s="36"/>
      <c r="HM14" s="36"/>
      <c r="HN14" s="36"/>
      <c r="HO14" s="36"/>
      <c r="HP14" s="36"/>
      <c r="HQ14" s="36"/>
      <c r="HR14" s="36"/>
      <c r="HS14" s="36"/>
      <c r="HT14" s="36"/>
      <c r="HU14" s="36"/>
      <c r="HV14" s="36"/>
      <c r="HW14" s="36"/>
      <c r="HX14" s="36"/>
      <c r="HY14" s="36"/>
      <c r="HZ14" s="36"/>
      <c r="IA14" s="33"/>
      <c r="IB14" s="37">
        <f t="shared" si="5"/>
        <v>6299</v>
      </c>
      <c r="IC14" s="38">
        <v>10.8</v>
      </c>
      <c r="ID14" s="36">
        <v>9.5</v>
      </c>
      <c r="IE14" s="33">
        <v>12.2</v>
      </c>
      <c r="IF14" s="37">
        <f t="shared" si="0"/>
        <v>7933</v>
      </c>
      <c r="IG14" s="38">
        <v>13.6</v>
      </c>
      <c r="IH14" s="36">
        <v>12.1</v>
      </c>
      <c r="II14" s="33">
        <v>15.3</v>
      </c>
      <c r="IJ14" s="37">
        <f t="shared" si="1"/>
        <v>4141</v>
      </c>
      <c r="IK14" s="38">
        <v>7.1</v>
      </c>
      <c r="IL14" s="36">
        <v>6.5</v>
      </c>
      <c r="IM14" s="33">
        <v>7.8</v>
      </c>
      <c r="IN14" s="37">
        <v>13</v>
      </c>
      <c r="IO14" s="33">
        <v>25.5</v>
      </c>
      <c r="IP14" s="37">
        <v>5970</v>
      </c>
      <c r="IQ14" s="33">
        <v>10.199999999999999</v>
      </c>
      <c r="IR14" s="37">
        <v>3531.2072254</v>
      </c>
      <c r="IS14" s="33">
        <v>5.9314126808000003</v>
      </c>
      <c r="IT14" s="37">
        <v>49</v>
      </c>
      <c r="IU14" s="36">
        <v>28.019693841999999</v>
      </c>
      <c r="IV14" s="36">
        <v>20.729123755</v>
      </c>
      <c r="IW14" s="36">
        <v>37.043521214000002</v>
      </c>
      <c r="IX14" s="36"/>
      <c r="IY14" s="36"/>
      <c r="IZ14" s="36"/>
      <c r="JA14" s="36"/>
      <c r="JB14" s="36"/>
      <c r="JC14" s="36"/>
      <c r="JD14" s="36"/>
      <c r="JE14" s="36"/>
      <c r="JF14" s="36"/>
      <c r="JG14" s="36"/>
      <c r="JH14" s="36"/>
      <c r="JI14" s="36"/>
      <c r="JJ14" s="36"/>
      <c r="JK14" s="36"/>
      <c r="JL14" s="33"/>
      <c r="JM14" s="36">
        <v>40</v>
      </c>
      <c r="JN14" s="36">
        <v>9.7732364805999996</v>
      </c>
      <c r="JO14" s="36">
        <v>6.9821434275999996</v>
      </c>
      <c r="JP14" s="36">
        <v>13.308374189</v>
      </c>
      <c r="JQ14" s="36"/>
      <c r="JR14" s="36"/>
      <c r="JS14" s="36"/>
      <c r="JT14" s="36"/>
      <c r="JU14" s="36"/>
      <c r="JV14" s="36"/>
      <c r="JW14" s="36"/>
      <c r="JX14" s="36"/>
      <c r="JY14" s="36"/>
      <c r="JZ14" s="36"/>
      <c r="KA14" s="36"/>
      <c r="KB14" s="36"/>
      <c r="KC14" s="36"/>
      <c r="KD14" s="36"/>
      <c r="KE14" s="33"/>
      <c r="KF14" s="37">
        <f t="shared" si="2"/>
        <v>16826</v>
      </c>
      <c r="KG14" s="38">
        <v>28.847067804000002</v>
      </c>
      <c r="KH14" s="36">
        <v>27.082489971000001</v>
      </c>
      <c r="KI14" s="33">
        <v>30.663312824999998</v>
      </c>
      <c r="KJ14" s="37">
        <v>2138</v>
      </c>
      <c r="KK14" s="36">
        <v>6.3502435546999996</v>
      </c>
      <c r="KL14" s="36">
        <v>5.3970520652999996</v>
      </c>
      <c r="KM14" s="33">
        <v>7.3034350441000004</v>
      </c>
      <c r="KN14" s="37">
        <v>189</v>
      </c>
      <c r="KO14" s="36">
        <v>1.701629603</v>
      </c>
      <c r="KP14" s="36">
        <v>1.1058849221</v>
      </c>
      <c r="KQ14" s="33">
        <v>2.2973742838</v>
      </c>
      <c r="KR14" s="36">
        <v>133.72651000000002</v>
      </c>
      <c r="KS14" s="39" t="s">
        <v>539</v>
      </c>
      <c r="KT14" s="36">
        <v>450</v>
      </c>
      <c r="KU14" s="33">
        <v>83.533333333000002</v>
      </c>
      <c r="KV14" s="36">
        <v>4.8351648351999996</v>
      </c>
      <c r="KW14" s="36">
        <v>1.9234269822000001</v>
      </c>
      <c r="KX14" s="33">
        <v>7.7469026880999996</v>
      </c>
      <c r="KY14" s="34"/>
      <c r="KZ14" s="34"/>
      <c r="LA14" s="34"/>
      <c r="LB14" s="34"/>
      <c r="LC14" s="35"/>
      <c r="LD14" s="34"/>
      <c r="LE14" s="34"/>
      <c r="LF14" s="34"/>
      <c r="LG14" s="34"/>
      <c r="LH14" s="35"/>
      <c r="LI14" s="40">
        <v>6.0271872400000003E-2</v>
      </c>
      <c r="LJ14" s="36"/>
      <c r="LK14" s="33"/>
      <c r="LL14" s="36">
        <v>49787</v>
      </c>
      <c r="LM14" s="36">
        <v>52246</v>
      </c>
      <c r="LN14" s="41">
        <v>0.95293419589999995</v>
      </c>
      <c r="LO14" s="41">
        <v>0.88600398719999995</v>
      </c>
      <c r="LP14" s="40">
        <v>1.0198644047000001</v>
      </c>
      <c r="LQ14" s="36">
        <v>70061</v>
      </c>
      <c r="LR14" s="36">
        <v>62067.297872000003</v>
      </c>
      <c r="LS14" s="36">
        <v>78054.702128000004</v>
      </c>
      <c r="LT14" s="36">
        <v>70750</v>
      </c>
      <c r="LU14" s="36">
        <v>41839.702127999997</v>
      </c>
      <c r="LV14" s="36">
        <v>99660.297871999996</v>
      </c>
      <c r="LW14" s="36">
        <v>62056</v>
      </c>
      <c r="LX14" s="36">
        <v>26104</v>
      </c>
      <c r="LY14" s="36">
        <v>98008</v>
      </c>
      <c r="LZ14" s="36"/>
      <c r="MA14" s="36"/>
      <c r="MB14" s="36"/>
      <c r="MC14" s="36">
        <v>48958</v>
      </c>
      <c r="MD14" s="36">
        <v>15078</v>
      </c>
      <c r="ME14" s="36">
        <v>82838</v>
      </c>
      <c r="MF14" s="36">
        <v>65798</v>
      </c>
      <c r="MG14" s="36">
        <v>63375.702127999997</v>
      </c>
      <c r="MH14" s="33">
        <v>68220.297871999996</v>
      </c>
      <c r="MI14" s="42">
        <v>27.386097049</v>
      </c>
      <c r="MJ14" s="33">
        <v>67.554887999000002</v>
      </c>
      <c r="MK14" s="33">
        <v>27.456340254000001</v>
      </c>
      <c r="ML14" s="42">
        <v>23.964830648</v>
      </c>
      <c r="MM14" s="36">
        <v>66</v>
      </c>
      <c r="MN14" s="33">
        <v>24.498886414000001</v>
      </c>
      <c r="MO14" s="36">
        <v>2.9319709442000002</v>
      </c>
      <c r="MP14" s="36">
        <v>1.5149921713000001</v>
      </c>
      <c r="MQ14" s="36">
        <v>5.1215631921</v>
      </c>
      <c r="MR14" s="36"/>
      <c r="MS14" s="36"/>
      <c r="MT14" s="36"/>
      <c r="MU14" s="36"/>
      <c r="MV14" s="36"/>
      <c r="MW14" s="36"/>
      <c r="MX14" s="36"/>
      <c r="MY14" s="36"/>
      <c r="MZ14" s="36"/>
      <c r="NA14" s="36"/>
      <c r="NB14" s="36"/>
      <c r="NC14" s="36"/>
      <c r="ND14" s="36"/>
      <c r="NE14" s="36"/>
      <c r="NF14" s="33"/>
      <c r="NG14" s="37">
        <v>45</v>
      </c>
      <c r="NH14" s="36">
        <v>15.155342939000001</v>
      </c>
      <c r="NI14" s="36">
        <v>10.875735751000001</v>
      </c>
      <c r="NJ14" s="36">
        <v>20.559933981</v>
      </c>
      <c r="NK14" s="36">
        <v>15.428342207</v>
      </c>
      <c r="NL14" s="36"/>
      <c r="NM14" s="36"/>
      <c r="NN14" s="36"/>
      <c r="NO14" s="36"/>
      <c r="NP14" s="36"/>
      <c r="NQ14" s="36"/>
      <c r="NR14" s="36"/>
      <c r="NS14" s="36"/>
      <c r="NT14" s="36"/>
      <c r="NU14" s="36"/>
      <c r="NV14" s="36"/>
      <c r="NW14" s="36"/>
      <c r="NX14" s="36"/>
      <c r="NY14" s="36"/>
      <c r="NZ14" s="33"/>
      <c r="OA14" s="37">
        <v>39</v>
      </c>
      <c r="OB14" s="36">
        <v>13.371229913000001</v>
      </c>
      <c r="OC14" s="36">
        <v>9.5082515881000003</v>
      </c>
      <c r="OD14" s="36">
        <v>18.278911467</v>
      </c>
      <c r="OE14" s="36"/>
      <c r="OF14" s="36"/>
      <c r="OG14" s="36"/>
      <c r="OH14" s="36"/>
      <c r="OI14" s="36"/>
      <c r="OJ14" s="36"/>
      <c r="OK14" s="36"/>
      <c r="OL14" s="36"/>
      <c r="OM14" s="36"/>
      <c r="ON14" s="36"/>
      <c r="OO14" s="36"/>
      <c r="OP14" s="36"/>
      <c r="OQ14" s="36"/>
      <c r="OR14" s="36"/>
      <c r="OS14" s="33"/>
      <c r="OT14" s="43"/>
      <c r="OU14" s="44">
        <v>88</v>
      </c>
      <c r="OV14" s="36">
        <v>5100</v>
      </c>
      <c r="OW14" s="36">
        <v>17.254901961000002</v>
      </c>
      <c r="OX14" s="33">
        <v>146.89122202999999</v>
      </c>
      <c r="OY14" s="36">
        <v>17793</v>
      </c>
      <c r="OZ14" s="36">
        <v>70.300276570999998</v>
      </c>
      <c r="PA14" s="36">
        <v>68.350297096999995</v>
      </c>
      <c r="PB14" s="33">
        <v>72.250256043999997</v>
      </c>
      <c r="PC14" s="37">
        <v>2925</v>
      </c>
      <c r="PD14" s="36">
        <v>11.811500564999999</v>
      </c>
      <c r="PE14" s="36">
        <v>10.053200172</v>
      </c>
      <c r="PF14" s="33">
        <v>13.569800959</v>
      </c>
      <c r="PG14" s="45">
        <v>85.598577637000005</v>
      </c>
      <c r="PH14" s="36">
        <v>21665</v>
      </c>
      <c r="PI14" s="36">
        <v>84.029632527000004</v>
      </c>
      <c r="PJ14" s="33">
        <v>87.167522747999996</v>
      </c>
      <c r="PK14" s="33">
        <v>58328</v>
      </c>
      <c r="PL14" s="33">
        <f t="shared" si="3"/>
        <v>10583</v>
      </c>
      <c r="PM14" s="35">
        <v>18.143944589</v>
      </c>
      <c r="PN14" s="33">
        <f t="shared" si="4"/>
        <v>12167</v>
      </c>
      <c r="PO14" s="35">
        <v>20.859621450999999</v>
      </c>
      <c r="PP14" s="36">
        <v>520</v>
      </c>
      <c r="PQ14" s="35">
        <v>0.89151008089999995</v>
      </c>
      <c r="PR14" s="36">
        <v>202</v>
      </c>
      <c r="PS14" s="35">
        <v>0.34631737759999998</v>
      </c>
      <c r="PT14" s="36">
        <v>555</v>
      </c>
      <c r="PU14" s="35">
        <v>0.95151556709999996</v>
      </c>
      <c r="PV14" s="36">
        <v>23</v>
      </c>
      <c r="PW14" s="35">
        <v>3.9432176700000002E-2</v>
      </c>
      <c r="PX14" s="36">
        <v>1237</v>
      </c>
      <c r="PY14" s="35">
        <v>2.1207653271</v>
      </c>
      <c r="PZ14" s="36">
        <v>54736</v>
      </c>
      <c r="QA14" s="35">
        <v>93.841722672000003</v>
      </c>
      <c r="QB14" s="36">
        <v>108</v>
      </c>
      <c r="QC14" s="36">
        <v>0.19409798349999999</v>
      </c>
      <c r="QD14" s="36">
        <v>0</v>
      </c>
      <c r="QE14" s="33">
        <v>0.40257987820000002</v>
      </c>
      <c r="QF14" s="35">
        <v>50.320600741</v>
      </c>
      <c r="QG14" s="38">
        <v>31437</v>
      </c>
      <c r="QH14" s="35">
        <v>52.805119763</v>
      </c>
    </row>
    <row r="15" spans="1:450" x14ac:dyDescent="0.25">
      <c r="A15">
        <v>50</v>
      </c>
      <c r="B15" t="s">
        <v>501</v>
      </c>
      <c r="C15" t="s">
        <v>502</v>
      </c>
      <c r="D15">
        <v>50025</v>
      </c>
      <c r="E15" t="s">
        <v>540</v>
      </c>
      <c r="F15">
        <v>50025</v>
      </c>
      <c r="G15" t="s">
        <v>541</v>
      </c>
      <c r="H15">
        <v>785.46521411890205</v>
      </c>
      <c r="I15">
        <v>42628</v>
      </c>
      <c r="J15">
        <v>0</v>
      </c>
      <c r="K15">
        <v>30778</v>
      </c>
      <c r="L15">
        <v>134</v>
      </c>
      <c r="M15">
        <v>19162</v>
      </c>
      <c r="N15">
        <v>432</v>
      </c>
      <c r="O15" s="8">
        <v>9574</v>
      </c>
      <c r="P15">
        <v>790</v>
      </c>
      <c r="Q15" s="9">
        <v>1005</v>
      </c>
      <c r="R15">
        <v>213</v>
      </c>
      <c r="S15" s="10">
        <v>6222</v>
      </c>
      <c r="T15">
        <v>517</v>
      </c>
      <c r="U15" s="11">
        <v>1984</v>
      </c>
      <c r="V15">
        <v>308</v>
      </c>
      <c r="W15" s="12">
        <v>2244</v>
      </c>
      <c r="X15">
        <v>391</v>
      </c>
      <c r="Y15" s="13">
        <v>9677</v>
      </c>
      <c r="Z15">
        <v>73</v>
      </c>
      <c r="AA15" s="14">
        <v>7630</v>
      </c>
      <c r="AB15">
        <v>0</v>
      </c>
      <c r="AC15" s="8">
        <v>7196</v>
      </c>
      <c r="AD15">
        <v>528</v>
      </c>
      <c r="AE15" s="9">
        <v>1131</v>
      </c>
      <c r="AF15">
        <v>169</v>
      </c>
      <c r="AG15" s="10">
        <v>119</v>
      </c>
      <c r="AH15">
        <v>112</v>
      </c>
      <c r="AI15" s="11">
        <v>3184</v>
      </c>
      <c r="AJ15">
        <v>251</v>
      </c>
      <c r="AK15" s="12">
        <v>1398</v>
      </c>
      <c r="AL15">
        <v>194</v>
      </c>
      <c r="AM15" s="13">
        <v>1690</v>
      </c>
      <c r="AN15">
        <v>254</v>
      </c>
      <c r="AO15" s="14">
        <v>178</v>
      </c>
      <c r="AP15">
        <v>64</v>
      </c>
      <c r="AQ15" s="8">
        <v>1291</v>
      </c>
      <c r="AR15">
        <v>209</v>
      </c>
      <c r="AS15" s="9">
        <v>1826</v>
      </c>
      <c r="AT15">
        <v>265</v>
      </c>
      <c r="AU15">
        <v>23.4</v>
      </c>
      <c r="AV15">
        <v>1.9</v>
      </c>
      <c r="AW15">
        <v>4.4000000000000004</v>
      </c>
      <c r="AX15">
        <v>0.9</v>
      </c>
      <c r="AY15">
        <v>32.5</v>
      </c>
      <c r="AZ15">
        <v>2.6</v>
      </c>
      <c r="BA15">
        <v>6.2</v>
      </c>
      <c r="BB15">
        <v>1</v>
      </c>
      <c r="BC15">
        <v>5.3</v>
      </c>
      <c r="BD15">
        <v>0.9</v>
      </c>
      <c r="BE15">
        <v>22.7</v>
      </c>
      <c r="BF15">
        <v>0.2</v>
      </c>
      <c r="BG15">
        <v>17.899999999999999</v>
      </c>
      <c r="BH15">
        <v>0</v>
      </c>
      <c r="BI15">
        <v>17.100000000000001</v>
      </c>
      <c r="BJ15">
        <v>1.3</v>
      </c>
      <c r="BK15">
        <v>5.9</v>
      </c>
      <c r="BL15">
        <v>0.9</v>
      </c>
      <c r="BM15">
        <v>0.3</v>
      </c>
      <c r="BN15">
        <v>0.3</v>
      </c>
      <c r="BO15">
        <v>7.5</v>
      </c>
      <c r="BP15">
        <v>0.6</v>
      </c>
      <c r="BQ15">
        <v>4.5</v>
      </c>
      <c r="BR15">
        <v>0.6</v>
      </c>
      <c r="BS15">
        <v>5.5</v>
      </c>
      <c r="BT15">
        <v>0.8</v>
      </c>
      <c r="BU15">
        <v>0.9</v>
      </c>
      <c r="BV15">
        <v>0.3</v>
      </c>
      <c r="BW15">
        <v>6.7</v>
      </c>
      <c r="BX15">
        <v>1.1000000000000001</v>
      </c>
      <c r="BY15">
        <v>4.3</v>
      </c>
      <c r="BZ15">
        <v>0.6</v>
      </c>
      <c r="CA15">
        <v>0.92310000000000003</v>
      </c>
      <c r="CB15">
        <v>0.76919999999999999</v>
      </c>
      <c r="CC15">
        <v>0.69230000000000003</v>
      </c>
      <c r="CD15">
        <v>0.3846</v>
      </c>
      <c r="CE15">
        <v>0.84619999999999995</v>
      </c>
      <c r="CF15">
        <v>3.6154000000000002</v>
      </c>
      <c r="CG15">
        <v>0.92310000000000003</v>
      </c>
      <c r="CH15">
        <v>0.76919999999999999</v>
      </c>
      <c r="CI15">
        <v>0.3846</v>
      </c>
      <c r="CJ15">
        <v>0.84619999999999995</v>
      </c>
      <c r="CK15">
        <v>0.92310000000000003</v>
      </c>
      <c r="CL15">
        <v>0.53849999999999998</v>
      </c>
      <c r="CM15">
        <v>3.4615999999999998</v>
      </c>
      <c r="CN15">
        <v>1</v>
      </c>
      <c r="CO15">
        <v>0.76919999999999999</v>
      </c>
      <c r="CP15">
        <v>0.76919999999999999</v>
      </c>
      <c r="CQ15">
        <v>0.76919999999999999</v>
      </c>
      <c r="CR15">
        <v>0.76919999999999999</v>
      </c>
      <c r="CS15">
        <v>0.23080000000000001</v>
      </c>
      <c r="CT15">
        <v>0.15379999999999999</v>
      </c>
      <c r="CU15">
        <v>0.61539999999999995</v>
      </c>
      <c r="CV15">
        <v>0.84619999999999995</v>
      </c>
      <c r="CW15">
        <v>2.6154000000000002</v>
      </c>
      <c r="CX15">
        <v>0.53849999999999998</v>
      </c>
      <c r="CY15">
        <v>10.461600000000001</v>
      </c>
      <c r="CZ15">
        <v>1</v>
      </c>
      <c r="DA15">
        <v>1</v>
      </c>
      <c r="DB15">
        <v>0</v>
      </c>
      <c r="DC15">
        <v>0</v>
      </c>
      <c r="DD15">
        <v>0</v>
      </c>
      <c r="DE15">
        <v>0</v>
      </c>
      <c r="DF15">
        <v>1</v>
      </c>
      <c r="DG15">
        <v>0</v>
      </c>
      <c r="DH15">
        <v>0</v>
      </c>
      <c r="DI15">
        <v>0</v>
      </c>
      <c r="DJ15">
        <v>1</v>
      </c>
      <c r="DK15">
        <v>0</v>
      </c>
      <c r="DL15">
        <v>1</v>
      </c>
      <c r="DM15">
        <v>0</v>
      </c>
      <c r="DN15">
        <v>0</v>
      </c>
      <c r="DO15">
        <v>0</v>
      </c>
      <c r="DP15">
        <v>0</v>
      </c>
      <c r="DQ15">
        <v>0</v>
      </c>
      <c r="DR15">
        <v>0</v>
      </c>
      <c r="DS15">
        <v>0</v>
      </c>
      <c r="DT15">
        <v>0</v>
      </c>
      <c r="DU15">
        <v>2</v>
      </c>
      <c r="DV15">
        <v>42937</v>
      </c>
      <c r="DW15">
        <v>11424</v>
      </c>
      <c r="DX15">
        <v>1144</v>
      </c>
      <c r="DY15" s="8">
        <v>459</v>
      </c>
      <c r="DZ15">
        <v>125</v>
      </c>
      <c r="EA15" s="9">
        <v>1027</v>
      </c>
      <c r="EB15">
        <v>0</v>
      </c>
      <c r="EC15" s="10">
        <v>516</v>
      </c>
      <c r="ED15">
        <v>67</v>
      </c>
      <c r="EE15" s="11">
        <v>88</v>
      </c>
      <c r="EF15">
        <v>54</v>
      </c>
      <c r="EG15" s="12">
        <v>12</v>
      </c>
      <c r="EH15">
        <v>21</v>
      </c>
      <c r="EI15" s="13">
        <v>1024</v>
      </c>
      <c r="EJ15">
        <v>171</v>
      </c>
      <c r="EK15" s="14">
        <v>58</v>
      </c>
      <c r="EL15">
        <v>58</v>
      </c>
      <c r="EM15">
        <v>28</v>
      </c>
      <c r="EN15">
        <v>0.2</v>
      </c>
      <c r="EO15">
        <v>1.1000000000000001</v>
      </c>
      <c r="EP15">
        <v>0.3</v>
      </c>
      <c r="EQ15">
        <v>2.4</v>
      </c>
      <c r="ER15">
        <v>0</v>
      </c>
      <c r="ES15">
        <v>1.2</v>
      </c>
      <c r="ET15">
        <v>0.2</v>
      </c>
      <c r="EU15">
        <v>0.2</v>
      </c>
      <c r="EV15">
        <v>0.1</v>
      </c>
      <c r="EW15">
        <v>0</v>
      </c>
      <c r="EX15">
        <v>0.1</v>
      </c>
      <c r="EY15">
        <v>2.4</v>
      </c>
      <c r="EZ15">
        <v>0.4</v>
      </c>
      <c r="FA15">
        <v>0.1</v>
      </c>
      <c r="FB15">
        <v>0.2</v>
      </c>
      <c r="FC15" s="32"/>
      <c r="FD15" s="33"/>
      <c r="FE15" s="34">
        <v>78.815940025000003</v>
      </c>
      <c r="FF15" s="34">
        <v>77.826787694000004</v>
      </c>
      <c r="FG15" s="34">
        <v>79.805092356000003</v>
      </c>
      <c r="FH15" s="34"/>
      <c r="FI15" s="34"/>
      <c r="FJ15" s="34"/>
      <c r="FK15" s="34"/>
      <c r="FL15" s="34"/>
      <c r="FM15" s="34"/>
      <c r="FN15" s="34"/>
      <c r="FO15" s="34"/>
      <c r="FP15" s="34"/>
      <c r="FQ15" s="34"/>
      <c r="FR15" s="34"/>
      <c r="FS15" s="34"/>
      <c r="FT15" s="34"/>
      <c r="FU15" s="34"/>
      <c r="FV15" s="35"/>
      <c r="FW15" s="36">
        <v>614</v>
      </c>
      <c r="FX15" s="36">
        <v>356.72105800000003</v>
      </c>
      <c r="FY15" s="36">
        <v>324.72686941000001</v>
      </c>
      <c r="FZ15" s="36">
        <v>388.71524658999999</v>
      </c>
      <c r="GA15" s="36"/>
      <c r="GB15" s="36"/>
      <c r="GC15" s="36"/>
      <c r="GD15" s="36"/>
      <c r="GE15" s="36"/>
      <c r="GF15" s="36"/>
      <c r="GG15" s="36"/>
      <c r="GH15" s="36"/>
      <c r="GI15" s="36"/>
      <c r="GJ15" s="36"/>
      <c r="GK15" s="36"/>
      <c r="GL15" s="36"/>
      <c r="GM15" s="36"/>
      <c r="GN15" s="36"/>
      <c r="GO15" s="33"/>
      <c r="GP15" s="36">
        <v>16</v>
      </c>
      <c r="GQ15" s="36">
        <v>52.973116144000002</v>
      </c>
      <c r="GR15" s="36">
        <v>30.278712931000001</v>
      </c>
      <c r="GS15" s="36">
        <v>86.025021843000005</v>
      </c>
      <c r="GT15" s="36"/>
      <c r="GU15" s="36"/>
      <c r="GV15" s="36"/>
      <c r="GW15" s="36"/>
      <c r="GX15" s="36"/>
      <c r="GY15" s="36"/>
      <c r="GZ15" s="36"/>
      <c r="HA15" s="36"/>
      <c r="HB15" s="36"/>
      <c r="HC15" s="36"/>
      <c r="HD15" s="36"/>
      <c r="HE15" s="36"/>
      <c r="HF15" s="36"/>
      <c r="HG15" s="36"/>
      <c r="HH15" s="33"/>
      <c r="HI15" s="36"/>
      <c r="HJ15" s="36"/>
      <c r="HK15" s="36"/>
      <c r="HL15" s="36"/>
      <c r="HM15" s="36"/>
      <c r="HN15" s="36"/>
      <c r="HO15" s="36"/>
      <c r="HP15" s="36"/>
      <c r="HQ15" s="36"/>
      <c r="HR15" s="36"/>
      <c r="HS15" s="36"/>
      <c r="HT15" s="36"/>
      <c r="HU15" s="36"/>
      <c r="HV15" s="36"/>
      <c r="HW15" s="36"/>
      <c r="HX15" s="36"/>
      <c r="HY15" s="36"/>
      <c r="HZ15" s="36"/>
      <c r="IA15" s="33"/>
      <c r="IB15" s="37">
        <f t="shared" si="5"/>
        <v>4832</v>
      </c>
      <c r="IC15" s="38">
        <v>11.5</v>
      </c>
      <c r="ID15" s="36">
        <v>10.199999999999999</v>
      </c>
      <c r="IE15" s="33">
        <v>12.9</v>
      </c>
      <c r="IF15" s="37">
        <f t="shared" si="0"/>
        <v>6176</v>
      </c>
      <c r="IG15" s="38">
        <v>14.7</v>
      </c>
      <c r="IH15" s="36">
        <v>13.2</v>
      </c>
      <c r="II15" s="33">
        <v>16.3</v>
      </c>
      <c r="IJ15" s="37">
        <f t="shared" si="1"/>
        <v>2899</v>
      </c>
      <c r="IK15" s="38">
        <v>6.9</v>
      </c>
      <c r="IL15" s="36">
        <v>6.3</v>
      </c>
      <c r="IM15" s="33">
        <v>7.6</v>
      </c>
      <c r="IN15" s="37">
        <v>14</v>
      </c>
      <c r="IO15" s="33">
        <v>37.799999999999997</v>
      </c>
      <c r="IP15" s="37">
        <v>5280</v>
      </c>
      <c r="IQ15" s="33">
        <v>12.3</v>
      </c>
      <c r="IR15" s="37">
        <v>1644.6617940000001</v>
      </c>
      <c r="IS15" s="33">
        <v>3.6947898232999998</v>
      </c>
      <c r="IT15" s="37">
        <v>64</v>
      </c>
      <c r="IU15" s="36">
        <v>50.396478545999997</v>
      </c>
      <c r="IV15" s="36">
        <v>38.811429406999999</v>
      </c>
      <c r="IW15" s="36">
        <v>64.355178008999999</v>
      </c>
      <c r="IX15" s="36"/>
      <c r="IY15" s="36"/>
      <c r="IZ15" s="36"/>
      <c r="JA15" s="36"/>
      <c r="JB15" s="36"/>
      <c r="JC15" s="36"/>
      <c r="JD15" s="36"/>
      <c r="JE15" s="36"/>
      <c r="JF15" s="36"/>
      <c r="JG15" s="36"/>
      <c r="JH15" s="36"/>
      <c r="JI15" s="36"/>
      <c r="JJ15" s="36"/>
      <c r="JK15" s="36"/>
      <c r="JL15" s="33"/>
      <c r="JM15" s="36">
        <v>33</v>
      </c>
      <c r="JN15" s="36">
        <v>10.996078065000001</v>
      </c>
      <c r="JO15" s="36">
        <v>7.5691941783000001</v>
      </c>
      <c r="JP15" s="36">
        <v>15.442581902000001</v>
      </c>
      <c r="JQ15" s="36"/>
      <c r="JR15" s="36"/>
      <c r="JS15" s="36"/>
      <c r="JT15" s="36"/>
      <c r="JU15" s="36"/>
      <c r="JV15" s="36"/>
      <c r="JW15" s="36"/>
      <c r="JX15" s="36"/>
      <c r="JY15" s="36"/>
      <c r="JZ15" s="36"/>
      <c r="KA15" s="36"/>
      <c r="KB15" s="36"/>
      <c r="KC15" s="36"/>
      <c r="KD15" s="36"/>
      <c r="KE15" s="33"/>
      <c r="KF15" s="37">
        <f t="shared" si="2"/>
        <v>12618</v>
      </c>
      <c r="KG15" s="38">
        <v>30.031064468</v>
      </c>
      <c r="KH15" s="36">
        <v>28.236458785</v>
      </c>
      <c r="KI15" s="33">
        <v>31.675143923</v>
      </c>
      <c r="KJ15" s="37">
        <v>1798</v>
      </c>
      <c r="KK15" s="36">
        <v>7.4882345592000004</v>
      </c>
      <c r="KL15" s="36">
        <v>6.1775962612999997</v>
      </c>
      <c r="KM15" s="33">
        <v>8.7988728569999992</v>
      </c>
      <c r="KN15" s="37">
        <v>144</v>
      </c>
      <c r="KO15" s="36">
        <v>1.9344438474000001</v>
      </c>
      <c r="KP15" s="36">
        <v>1.2195502304000001</v>
      </c>
      <c r="KQ15" s="33">
        <v>2.6493374643999998</v>
      </c>
      <c r="KR15" s="36">
        <v>130.90563</v>
      </c>
      <c r="KS15" s="39" t="s">
        <v>542</v>
      </c>
      <c r="KT15" s="36">
        <v>370</v>
      </c>
      <c r="KU15" s="33">
        <v>81.675675675999997</v>
      </c>
      <c r="KV15" s="36">
        <v>6.3829787233999999</v>
      </c>
      <c r="KW15" s="36">
        <v>2.1273844519999998</v>
      </c>
      <c r="KX15" s="33">
        <v>10.638572995000001</v>
      </c>
      <c r="KY15" s="34"/>
      <c r="KZ15" s="34"/>
      <c r="LA15" s="34"/>
      <c r="LB15" s="34"/>
      <c r="LC15" s="35"/>
      <c r="LD15" s="34"/>
      <c r="LE15" s="34"/>
      <c r="LF15" s="34"/>
      <c r="LG15" s="34"/>
      <c r="LH15" s="35"/>
      <c r="LI15" s="40">
        <v>6.8198437299999998E-2</v>
      </c>
      <c r="LJ15" s="36"/>
      <c r="LK15" s="33"/>
      <c r="LL15" s="36">
        <v>42454</v>
      </c>
      <c r="LM15" s="36">
        <v>49636</v>
      </c>
      <c r="LN15" s="41">
        <v>0.85530663230000004</v>
      </c>
      <c r="LO15" s="41">
        <v>0.75862518590000005</v>
      </c>
      <c r="LP15" s="40">
        <v>0.95198807860000001</v>
      </c>
      <c r="LQ15" s="36">
        <v>59017</v>
      </c>
      <c r="LR15" s="36">
        <v>51997.936170000001</v>
      </c>
      <c r="LS15" s="36">
        <v>66036.063829999999</v>
      </c>
      <c r="LT15" s="36">
        <v>11250</v>
      </c>
      <c r="LU15" s="36">
        <v>1390.4255318999999</v>
      </c>
      <c r="LV15" s="36">
        <v>21109.574467999999</v>
      </c>
      <c r="LW15" s="36"/>
      <c r="LX15" s="36"/>
      <c r="LY15" s="36"/>
      <c r="LZ15" s="36"/>
      <c r="MA15" s="36"/>
      <c r="MB15" s="36"/>
      <c r="MC15" s="36">
        <v>56250</v>
      </c>
      <c r="MD15" s="36">
        <v>24564.723404</v>
      </c>
      <c r="ME15" s="36">
        <v>87935.276595999996</v>
      </c>
      <c r="MF15" s="36">
        <v>54616</v>
      </c>
      <c r="MG15" s="36">
        <v>51593.191488999997</v>
      </c>
      <c r="MH15" s="33">
        <v>57638.808511000003</v>
      </c>
      <c r="MI15" s="42">
        <v>39.278520417999999</v>
      </c>
      <c r="MJ15" s="33">
        <v>74.109571474999996</v>
      </c>
      <c r="MK15" s="33">
        <v>28.656887025</v>
      </c>
      <c r="ML15" s="42">
        <v>36.657234355999996</v>
      </c>
      <c r="MM15" s="36">
        <v>54</v>
      </c>
      <c r="MN15" s="33">
        <v>28.008298754999998</v>
      </c>
      <c r="MO15" s="36">
        <v>3.6653593552000001</v>
      </c>
      <c r="MP15" s="36">
        <v>1.8297341839000001</v>
      </c>
      <c r="MQ15" s="36">
        <v>6.5583403630000001</v>
      </c>
      <c r="MR15" s="36"/>
      <c r="MS15" s="36"/>
      <c r="MT15" s="36"/>
      <c r="MU15" s="36"/>
      <c r="MV15" s="36"/>
      <c r="MW15" s="36"/>
      <c r="MX15" s="36"/>
      <c r="MY15" s="36"/>
      <c r="MZ15" s="36"/>
      <c r="NA15" s="36"/>
      <c r="NB15" s="36"/>
      <c r="NC15" s="36"/>
      <c r="ND15" s="36"/>
      <c r="NE15" s="36"/>
      <c r="NF15" s="33"/>
      <c r="NG15" s="37">
        <v>57</v>
      </c>
      <c r="NH15" s="36">
        <v>27.523864764999999</v>
      </c>
      <c r="NI15" s="36">
        <v>20.428742944</v>
      </c>
      <c r="NJ15" s="36">
        <v>36.286784382</v>
      </c>
      <c r="NK15" s="36">
        <v>26.759683954</v>
      </c>
      <c r="NL15" s="36"/>
      <c r="NM15" s="36"/>
      <c r="NN15" s="36"/>
      <c r="NO15" s="36"/>
      <c r="NP15" s="36"/>
      <c r="NQ15" s="36"/>
      <c r="NR15" s="36"/>
      <c r="NS15" s="36"/>
      <c r="NT15" s="36"/>
      <c r="NU15" s="36"/>
      <c r="NV15" s="36"/>
      <c r="NW15" s="36"/>
      <c r="NX15" s="36"/>
      <c r="NY15" s="36"/>
      <c r="NZ15" s="33"/>
      <c r="OA15" s="37">
        <v>24</v>
      </c>
      <c r="OB15" s="36">
        <v>11.267235349</v>
      </c>
      <c r="OC15" s="36">
        <v>7.2191302889999998</v>
      </c>
      <c r="OD15" s="36">
        <v>16.764753079999998</v>
      </c>
      <c r="OE15" s="36"/>
      <c r="OF15" s="36"/>
      <c r="OG15" s="36"/>
      <c r="OH15" s="36"/>
      <c r="OI15" s="36"/>
      <c r="OJ15" s="36"/>
      <c r="OK15" s="36"/>
      <c r="OL15" s="36"/>
      <c r="OM15" s="36"/>
      <c r="ON15" s="36"/>
      <c r="OO15" s="36"/>
      <c r="OP15" s="36"/>
      <c r="OQ15" s="36"/>
      <c r="OR15" s="36"/>
      <c r="OS15" s="33"/>
      <c r="OT15" s="43"/>
      <c r="OU15" s="44">
        <v>63</v>
      </c>
      <c r="OV15" s="36">
        <v>3500</v>
      </c>
      <c r="OW15" s="36">
        <v>18</v>
      </c>
      <c r="OX15" s="33">
        <v>139.38566410000001</v>
      </c>
      <c r="OY15" s="36">
        <v>12974</v>
      </c>
      <c r="OZ15" s="36">
        <v>67.706919945999999</v>
      </c>
      <c r="PA15" s="36">
        <v>65.806858198</v>
      </c>
      <c r="PB15" s="33">
        <v>69.606981692999994</v>
      </c>
      <c r="PC15" s="37">
        <v>2978</v>
      </c>
      <c r="PD15" s="36">
        <v>16.03920935</v>
      </c>
      <c r="PE15" s="36">
        <v>13.667779007</v>
      </c>
      <c r="PF15" s="33">
        <v>18.410639693</v>
      </c>
      <c r="PG15" s="45">
        <v>69.773510071999993</v>
      </c>
      <c r="PH15" s="36">
        <v>13370</v>
      </c>
      <c r="PI15" s="36">
        <v>66.772691700999999</v>
      </c>
      <c r="PJ15" s="33">
        <v>72.774328443000002</v>
      </c>
      <c r="PK15" s="33">
        <v>42015</v>
      </c>
      <c r="PL15" s="33">
        <f t="shared" si="3"/>
        <v>7391</v>
      </c>
      <c r="PM15" s="35">
        <v>17.591336427000002</v>
      </c>
      <c r="PN15" s="33">
        <f t="shared" si="4"/>
        <v>10327</v>
      </c>
      <c r="PO15" s="35">
        <v>24.579316910999999</v>
      </c>
      <c r="PP15" s="36">
        <v>603</v>
      </c>
      <c r="PQ15" s="35">
        <v>1.4352017136999999</v>
      </c>
      <c r="PR15" s="36">
        <v>125</v>
      </c>
      <c r="PS15" s="35">
        <v>0.29751279310000001</v>
      </c>
      <c r="PT15" s="36">
        <v>530</v>
      </c>
      <c r="PU15" s="35">
        <v>1.2614542424999999</v>
      </c>
      <c r="PV15" s="36">
        <v>23</v>
      </c>
      <c r="PW15" s="35">
        <v>5.4742353899999999E-2</v>
      </c>
      <c r="PX15" s="36">
        <v>1057</v>
      </c>
      <c r="PY15" s="35">
        <v>2.5157681780000001</v>
      </c>
      <c r="PZ15" s="36">
        <v>38877</v>
      </c>
      <c r="QA15" s="35">
        <v>92.531238842999997</v>
      </c>
      <c r="QB15" s="36">
        <v>119</v>
      </c>
      <c r="QC15" s="36">
        <v>0.29238329239999999</v>
      </c>
      <c r="QD15" s="36">
        <v>0</v>
      </c>
      <c r="QE15" s="33">
        <v>0.62127921720000001</v>
      </c>
      <c r="QF15" s="35">
        <v>50.974651909999999</v>
      </c>
      <c r="QG15" s="38">
        <v>30378</v>
      </c>
      <c r="QH15" s="35">
        <v>68.24523173</v>
      </c>
    </row>
    <row r="16" spans="1:450" x14ac:dyDescent="0.25">
      <c r="A16">
        <v>50</v>
      </c>
      <c r="B16" t="s">
        <v>501</v>
      </c>
      <c r="C16" t="s">
        <v>502</v>
      </c>
      <c r="D16">
        <v>50027</v>
      </c>
      <c r="E16" t="s">
        <v>543</v>
      </c>
      <c r="F16">
        <v>50027</v>
      </c>
      <c r="G16" t="s">
        <v>544</v>
      </c>
      <c r="H16">
        <v>969.78309691964398</v>
      </c>
      <c r="I16">
        <v>55191</v>
      </c>
      <c r="J16">
        <v>0</v>
      </c>
      <c r="K16">
        <v>35016</v>
      </c>
      <c r="L16">
        <v>95</v>
      </c>
      <c r="M16">
        <v>24629</v>
      </c>
      <c r="N16">
        <v>442</v>
      </c>
      <c r="O16" s="8">
        <v>9179</v>
      </c>
      <c r="P16">
        <v>912</v>
      </c>
      <c r="Q16" s="9">
        <v>1090</v>
      </c>
      <c r="R16">
        <v>279</v>
      </c>
      <c r="S16" s="10">
        <v>6833</v>
      </c>
      <c r="T16">
        <v>520</v>
      </c>
      <c r="U16" s="11">
        <v>2211</v>
      </c>
      <c r="V16">
        <v>361</v>
      </c>
      <c r="W16" s="12">
        <v>2495</v>
      </c>
      <c r="X16">
        <v>393</v>
      </c>
      <c r="Y16" s="13">
        <v>12888</v>
      </c>
      <c r="Z16">
        <v>76</v>
      </c>
      <c r="AA16" s="14">
        <v>9994</v>
      </c>
      <c r="AB16">
        <v>37</v>
      </c>
      <c r="AC16" s="8">
        <v>8169</v>
      </c>
      <c r="AD16">
        <v>624</v>
      </c>
      <c r="AE16" s="9">
        <v>1040</v>
      </c>
      <c r="AF16">
        <v>197</v>
      </c>
      <c r="AG16" s="10">
        <v>150</v>
      </c>
      <c r="AH16">
        <v>111</v>
      </c>
      <c r="AI16" s="11">
        <v>3045</v>
      </c>
      <c r="AJ16">
        <v>243</v>
      </c>
      <c r="AK16" s="12">
        <v>1556</v>
      </c>
      <c r="AL16">
        <v>258</v>
      </c>
      <c r="AM16" s="13">
        <v>2268</v>
      </c>
      <c r="AN16">
        <v>317</v>
      </c>
      <c r="AO16" s="14">
        <v>350</v>
      </c>
      <c r="AP16">
        <v>116</v>
      </c>
      <c r="AQ16" s="8">
        <v>1253</v>
      </c>
      <c r="AR16">
        <v>276</v>
      </c>
      <c r="AS16" s="9">
        <v>826</v>
      </c>
      <c r="AT16">
        <v>182</v>
      </c>
      <c r="AU16">
        <v>16.899999999999999</v>
      </c>
      <c r="AV16">
        <v>1.7</v>
      </c>
      <c r="AW16">
        <v>3.8</v>
      </c>
      <c r="AX16">
        <v>1</v>
      </c>
      <c r="AY16">
        <v>27.7</v>
      </c>
      <c r="AZ16">
        <v>2.1</v>
      </c>
      <c r="BA16">
        <v>5.3</v>
      </c>
      <c r="BB16">
        <v>0.9</v>
      </c>
      <c r="BC16">
        <v>4.5999999999999996</v>
      </c>
      <c r="BD16">
        <v>0.7</v>
      </c>
      <c r="BE16">
        <v>23.4</v>
      </c>
      <c r="BF16">
        <v>0.1</v>
      </c>
      <c r="BG16">
        <v>18.100000000000001</v>
      </c>
      <c r="BH16">
        <v>0.1</v>
      </c>
      <c r="BI16">
        <v>15</v>
      </c>
      <c r="BJ16">
        <v>1.1000000000000001</v>
      </c>
      <c r="BK16">
        <v>4.2</v>
      </c>
      <c r="BL16">
        <v>0.8</v>
      </c>
      <c r="BM16">
        <v>0.3</v>
      </c>
      <c r="BN16">
        <v>0.2</v>
      </c>
      <c r="BO16">
        <v>5.5</v>
      </c>
      <c r="BP16">
        <v>0.4</v>
      </c>
      <c r="BQ16">
        <v>4.4000000000000004</v>
      </c>
      <c r="BR16">
        <v>0.7</v>
      </c>
      <c r="BS16">
        <v>6.5</v>
      </c>
      <c r="BT16">
        <v>0.9</v>
      </c>
      <c r="BU16">
        <v>1.4</v>
      </c>
      <c r="BV16">
        <v>0.5</v>
      </c>
      <c r="BW16">
        <v>5.0999999999999996</v>
      </c>
      <c r="BX16">
        <v>1.1000000000000001</v>
      </c>
      <c r="BY16">
        <v>1.5</v>
      </c>
      <c r="BZ16">
        <v>0.3</v>
      </c>
      <c r="CA16">
        <v>0.23080000000000001</v>
      </c>
      <c r="CB16">
        <v>0.3846</v>
      </c>
      <c r="CC16">
        <v>0.84619999999999995</v>
      </c>
      <c r="CD16">
        <v>7.6899999999999996E-2</v>
      </c>
      <c r="CE16">
        <v>0.61539999999999995</v>
      </c>
      <c r="CF16">
        <v>2.1539000000000001</v>
      </c>
      <c r="CG16">
        <v>0.3846</v>
      </c>
      <c r="CH16">
        <v>0.92310000000000003</v>
      </c>
      <c r="CI16">
        <v>0.46150000000000002</v>
      </c>
      <c r="CJ16">
        <v>0.3846</v>
      </c>
      <c r="CK16">
        <v>0.15379999999999999</v>
      </c>
      <c r="CL16">
        <v>0.53849999999999998</v>
      </c>
      <c r="CM16">
        <v>2.4615</v>
      </c>
      <c r="CN16">
        <v>0.53849999999999998</v>
      </c>
      <c r="CO16">
        <v>0.30769999999999997</v>
      </c>
      <c r="CP16">
        <v>0.30769999999999997</v>
      </c>
      <c r="CQ16">
        <v>0.30769999999999997</v>
      </c>
      <c r="CR16">
        <v>0.69230000000000003</v>
      </c>
      <c r="CS16">
        <v>0.3846</v>
      </c>
      <c r="CT16">
        <v>0.53849999999999998</v>
      </c>
      <c r="CU16">
        <v>0.30769999999999997</v>
      </c>
      <c r="CV16">
        <v>0.23080000000000001</v>
      </c>
      <c r="CW16">
        <v>2.1539000000000001</v>
      </c>
      <c r="CX16">
        <v>0.23080000000000001</v>
      </c>
      <c r="CY16">
        <v>7.077</v>
      </c>
      <c r="CZ16">
        <v>0.23080000000000001</v>
      </c>
      <c r="DA16">
        <v>0</v>
      </c>
      <c r="DB16">
        <v>0</v>
      </c>
      <c r="DC16">
        <v>0</v>
      </c>
      <c r="DD16">
        <v>0</v>
      </c>
      <c r="DE16">
        <v>0</v>
      </c>
      <c r="DF16">
        <v>0</v>
      </c>
      <c r="DG16">
        <v>1</v>
      </c>
      <c r="DH16">
        <v>0</v>
      </c>
      <c r="DI16">
        <v>0</v>
      </c>
      <c r="DJ16">
        <v>0</v>
      </c>
      <c r="DK16">
        <v>0</v>
      </c>
      <c r="DL16">
        <v>1</v>
      </c>
      <c r="DM16">
        <v>0</v>
      </c>
      <c r="DN16">
        <v>0</v>
      </c>
      <c r="DO16">
        <v>0</v>
      </c>
      <c r="DP16">
        <v>0</v>
      </c>
      <c r="DQ16">
        <v>0</v>
      </c>
      <c r="DR16">
        <v>0</v>
      </c>
      <c r="DS16">
        <v>0</v>
      </c>
      <c r="DT16">
        <v>0</v>
      </c>
      <c r="DU16">
        <v>1</v>
      </c>
      <c r="DV16">
        <v>49905</v>
      </c>
      <c r="DW16">
        <v>6234</v>
      </c>
      <c r="DX16">
        <v>723</v>
      </c>
      <c r="DY16" s="8">
        <v>367</v>
      </c>
      <c r="DZ16">
        <v>92</v>
      </c>
      <c r="EA16" s="9">
        <v>996</v>
      </c>
      <c r="EB16">
        <v>0</v>
      </c>
      <c r="EC16" s="10">
        <v>539</v>
      </c>
      <c r="ED16">
        <v>94</v>
      </c>
      <c r="EE16" s="11">
        <v>100</v>
      </c>
      <c r="EF16">
        <v>50</v>
      </c>
      <c r="EG16" s="12">
        <v>0</v>
      </c>
      <c r="EH16">
        <v>23</v>
      </c>
      <c r="EI16" s="13">
        <v>976</v>
      </c>
      <c r="EJ16">
        <v>170</v>
      </c>
      <c r="EK16" s="14">
        <v>67</v>
      </c>
      <c r="EL16">
        <v>67</v>
      </c>
      <c r="EM16">
        <v>11.5</v>
      </c>
      <c r="EN16">
        <v>0</v>
      </c>
      <c r="EO16">
        <v>0.7</v>
      </c>
      <c r="EP16">
        <v>0.2</v>
      </c>
      <c r="EQ16">
        <v>1.8</v>
      </c>
      <c r="ER16">
        <v>0</v>
      </c>
      <c r="ES16">
        <v>1</v>
      </c>
      <c r="ET16">
        <v>0.2</v>
      </c>
      <c r="EU16">
        <v>0.2</v>
      </c>
      <c r="EV16">
        <v>0.1</v>
      </c>
      <c r="EW16">
        <v>0</v>
      </c>
      <c r="EX16">
        <v>0.1</v>
      </c>
      <c r="EY16">
        <v>1.8</v>
      </c>
      <c r="EZ16">
        <v>0.3</v>
      </c>
      <c r="FA16">
        <v>0.1</v>
      </c>
      <c r="FB16">
        <v>0.1</v>
      </c>
      <c r="FC16" s="32"/>
      <c r="FD16" s="33"/>
      <c r="FE16" s="34">
        <v>79.137073708000003</v>
      </c>
      <c r="FF16" s="34">
        <v>78.332494800999996</v>
      </c>
      <c r="FG16" s="34">
        <v>79.941652614000006</v>
      </c>
      <c r="FH16" s="34"/>
      <c r="FI16" s="34"/>
      <c r="FJ16" s="34"/>
      <c r="FK16" s="34"/>
      <c r="FL16" s="34"/>
      <c r="FM16" s="34"/>
      <c r="FN16" s="34"/>
      <c r="FO16" s="34"/>
      <c r="FP16" s="34"/>
      <c r="FQ16" s="34"/>
      <c r="FR16" s="34"/>
      <c r="FS16" s="34"/>
      <c r="FT16" s="34"/>
      <c r="FU16" s="34"/>
      <c r="FV16" s="35"/>
      <c r="FW16" s="36">
        <v>768</v>
      </c>
      <c r="FX16" s="36">
        <v>335.84921441</v>
      </c>
      <c r="FY16" s="36">
        <v>309.13638272999998</v>
      </c>
      <c r="FZ16" s="36">
        <v>362.56204609999998</v>
      </c>
      <c r="GA16" s="36"/>
      <c r="GB16" s="36"/>
      <c r="GC16" s="36"/>
      <c r="GD16" s="36"/>
      <c r="GE16" s="36"/>
      <c r="GF16" s="36"/>
      <c r="GG16" s="36"/>
      <c r="GH16" s="36"/>
      <c r="GI16" s="36"/>
      <c r="GJ16" s="36"/>
      <c r="GK16" s="36"/>
      <c r="GL16" s="36"/>
      <c r="GM16" s="36"/>
      <c r="GN16" s="36"/>
      <c r="GO16" s="33"/>
      <c r="GP16" s="36">
        <v>12</v>
      </c>
      <c r="GQ16" s="36">
        <v>30.299204646</v>
      </c>
      <c r="GR16" s="36">
        <v>15.656041178000001</v>
      </c>
      <c r="GS16" s="36">
        <v>52.926612923</v>
      </c>
      <c r="GT16" s="36"/>
      <c r="GU16" s="36"/>
      <c r="GV16" s="36"/>
      <c r="GW16" s="36"/>
      <c r="GX16" s="36"/>
      <c r="GY16" s="36"/>
      <c r="GZ16" s="36"/>
      <c r="HA16" s="36"/>
      <c r="HB16" s="36"/>
      <c r="HC16" s="36"/>
      <c r="HD16" s="36"/>
      <c r="HE16" s="36"/>
      <c r="HF16" s="36"/>
      <c r="HG16" s="36"/>
      <c r="HH16" s="33"/>
      <c r="HI16" s="36"/>
      <c r="HJ16" s="36"/>
      <c r="HK16" s="36"/>
      <c r="HL16" s="36"/>
      <c r="HM16" s="36"/>
      <c r="HN16" s="36"/>
      <c r="HO16" s="36"/>
      <c r="HP16" s="36"/>
      <c r="HQ16" s="36"/>
      <c r="HR16" s="36"/>
      <c r="HS16" s="36"/>
      <c r="HT16" s="36"/>
      <c r="HU16" s="36"/>
      <c r="HV16" s="36"/>
      <c r="HW16" s="36"/>
      <c r="HX16" s="36"/>
      <c r="HY16" s="36"/>
      <c r="HZ16" s="36"/>
      <c r="IA16" s="33"/>
      <c r="IB16" s="37">
        <f t="shared" si="5"/>
        <v>6049</v>
      </c>
      <c r="IC16" s="38">
        <v>11</v>
      </c>
      <c r="ID16" s="36">
        <v>9.6999999999999993</v>
      </c>
      <c r="IE16" s="33">
        <v>12.3</v>
      </c>
      <c r="IF16" s="37">
        <f t="shared" si="0"/>
        <v>7643</v>
      </c>
      <c r="IG16" s="38">
        <v>13.9</v>
      </c>
      <c r="IH16" s="36">
        <v>12.3</v>
      </c>
      <c r="II16" s="33">
        <v>15.5</v>
      </c>
      <c r="IJ16" s="37">
        <f t="shared" si="1"/>
        <v>3849</v>
      </c>
      <c r="IK16" s="38">
        <v>7</v>
      </c>
      <c r="IL16" s="36">
        <v>6.4</v>
      </c>
      <c r="IM16" s="33">
        <v>7.7</v>
      </c>
      <c r="IN16" s="37">
        <v>17</v>
      </c>
      <c r="IO16" s="33">
        <v>35.200000000000003</v>
      </c>
      <c r="IP16" s="37">
        <v>5470</v>
      </c>
      <c r="IQ16" s="33">
        <v>9.9</v>
      </c>
      <c r="IR16" s="37">
        <v>655.55700645000002</v>
      </c>
      <c r="IS16" s="33">
        <v>1.1567972585999999</v>
      </c>
      <c r="IT16" s="37">
        <v>70</v>
      </c>
      <c r="IU16" s="36">
        <v>42.338026806000002</v>
      </c>
      <c r="IV16" s="36">
        <v>33.004568943000002</v>
      </c>
      <c r="IW16" s="36">
        <v>53.491549833000001</v>
      </c>
      <c r="IX16" s="36"/>
      <c r="IY16" s="36"/>
      <c r="IZ16" s="36"/>
      <c r="JA16" s="36"/>
      <c r="JB16" s="36"/>
      <c r="JC16" s="36"/>
      <c r="JD16" s="36"/>
      <c r="JE16" s="36"/>
      <c r="JF16" s="36"/>
      <c r="JG16" s="36"/>
      <c r="JH16" s="36"/>
      <c r="JI16" s="36"/>
      <c r="JJ16" s="36"/>
      <c r="JK16" s="36"/>
      <c r="JL16" s="33"/>
      <c r="JM16" s="36">
        <v>41</v>
      </c>
      <c r="JN16" s="36">
        <v>10.575650724999999</v>
      </c>
      <c r="JO16" s="36">
        <v>7.5892695497</v>
      </c>
      <c r="JP16" s="36">
        <v>14.347064371</v>
      </c>
      <c r="JQ16" s="36"/>
      <c r="JR16" s="36"/>
      <c r="JS16" s="36"/>
      <c r="JT16" s="36"/>
      <c r="JU16" s="36"/>
      <c r="JV16" s="36"/>
      <c r="JW16" s="36"/>
      <c r="JX16" s="36"/>
      <c r="JY16" s="36"/>
      <c r="JZ16" s="36"/>
      <c r="KA16" s="36"/>
      <c r="KB16" s="36"/>
      <c r="KC16" s="36"/>
      <c r="KD16" s="36"/>
      <c r="KE16" s="33"/>
      <c r="KF16" s="37">
        <f t="shared" si="2"/>
        <v>17819</v>
      </c>
      <c r="KG16" s="38">
        <v>32.404384952000001</v>
      </c>
      <c r="KH16" s="36">
        <v>30.464427606000001</v>
      </c>
      <c r="KI16" s="33">
        <v>34.284482896999997</v>
      </c>
      <c r="KJ16" s="37">
        <v>2448</v>
      </c>
      <c r="KK16" s="36">
        <v>7.7544426493999996</v>
      </c>
      <c r="KL16" s="36">
        <v>6.5629532877000001</v>
      </c>
      <c r="KM16" s="33">
        <v>8.9459320111</v>
      </c>
      <c r="KN16" s="37">
        <v>218</v>
      </c>
      <c r="KO16" s="36">
        <v>2.1503255079999999</v>
      </c>
      <c r="KP16" s="36">
        <v>1.4354318909999999</v>
      </c>
      <c r="KQ16" s="33">
        <v>2.8652191249999999</v>
      </c>
      <c r="KR16" s="36">
        <v>154.57918000000001</v>
      </c>
      <c r="KS16" s="39" t="s">
        <v>545</v>
      </c>
      <c r="KT16" s="36">
        <v>433</v>
      </c>
      <c r="KU16" s="33">
        <v>82.378752887000005</v>
      </c>
      <c r="KV16" s="36"/>
      <c r="KW16" s="36"/>
      <c r="KX16" s="33"/>
      <c r="KY16" s="34"/>
      <c r="KZ16" s="34"/>
      <c r="LA16" s="34"/>
      <c r="LB16" s="34"/>
      <c r="LC16" s="35"/>
      <c r="LD16" s="34"/>
      <c r="LE16" s="34"/>
      <c r="LF16" s="34"/>
      <c r="LG16" s="34"/>
      <c r="LH16" s="35"/>
      <c r="LI16" s="40">
        <v>8.4891696700000005E-2</v>
      </c>
      <c r="LJ16" s="36"/>
      <c r="LK16" s="33"/>
      <c r="LL16" s="36">
        <v>44777</v>
      </c>
      <c r="LM16" s="36">
        <v>53057</v>
      </c>
      <c r="LN16" s="41">
        <v>0.84394142149999996</v>
      </c>
      <c r="LO16" s="41">
        <v>0.79790993750000005</v>
      </c>
      <c r="LP16" s="40">
        <v>0.88997290549999997</v>
      </c>
      <c r="LQ16" s="36">
        <v>60842</v>
      </c>
      <c r="LR16" s="36">
        <v>53503.617020999998</v>
      </c>
      <c r="LS16" s="36">
        <v>68180.382979000002</v>
      </c>
      <c r="LT16" s="36">
        <v>57734</v>
      </c>
      <c r="LU16" s="36">
        <v>8487.3617020999991</v>
      </c>
      <c r="LV16" s="36">
        <v>106980.63830000001</v>
      </c>
      <c r="LW16" s="36">
        <v>64183</v>
      </c>
      <c r="LX16" s="36">
        <v>28895.851063999999</v>
      </c>
      <c r="LY16" s="36">
        <v>99470.148935999998</v>
      </c>
      <c r="LZ16" s="36"/>
      <c r="MA16" s="36"/>
      <c r="MB16" s="36"/>
      <c r="MC16" s="36">
        <v>59643</v>
      </c>
      <c r="MD16" s="36">
        <v>21327.085105999999</v>
      </c>
      <c r="ME16" s="36">
        <v>97958.914894000001</v>
      </c>
      <c r="MF16" s="36">
        <v>61363</v>
      </c>
      <c r="MG16" s="36">
        <v>57948.191488999997</v>
      </c>
      <c r="MH16" s="33">
        <v>64777.808511000003</v>
      </c>
      <c r="MI16" s="42">
        <v>36.240090600000002</v>
      </c>
      <c r="MJ16" s="33">
        <v>59.582872190000003</v>
      </c>
      <c r="MK16" s="33">
        <v>25.408361391</v>
      </c>
      <c r="ML16" s="42">
        <v>29.379376089000001</v>
      </c>
      <c r="MM16" s="36">
        <v>65</v>
      </c>
      <c r="MN16" s="33">
        <v>27.038269550999999</v>
      </c>
      <c r="MO16" s="36"/>
      <c r="MP16" s="36"/>
      <c r="MQ16" s="36"/>
      <c r="MR16" s="36"/>
      <c r="MS16" s="36"/>
      <c r="MT16" s="36"/>
      <c r="MU16" s="36"/>
      <c r="MV16" s="36"/>
      <c r="MW16" s="36"/>
      <c r="MX16" s="36"/>
      <c r="MY16" s="36"/>
      <c r="MZ16" s="36"/>
      <c r="NA16" s="36"/>
      <c r="NB16" s="36"/>
      <c r="NC16" s="36"/>
      <c r="ND16" s="36"/>
      <c r="NE16" s="36"/>
      <c r="NF16" s="33"/>
      <c r="NG16" s="37">
        <v>60</v>
      </c>
      <c r="NH16" s="36">
        <v>21.441428127999998</v>
      </c>
      <c r="NI16" s="36">
        <v>16.013484085999998</v>
      </c>
      <c r="NJ16" s="36">
        <v>28.117580348000001</v>
      </c>
      <c r="NK16" s="36">
        <v>21.744487771999999</v>
      </c>
      <c r="NL16" s="36"/>
      <c r="NM16" s="36"/>
      <c r="NN16" s="36"/>
      <c r="NO16" s="36"/>
      <c r="NP16" s="36"/>
      <c r="NQ16" s="36"/>
      <c r="NR16" s="36"/>
      <c r="NS16" s="36"/>
      <c r="NT16" s="36"/>
      <c r="NU16" s="36"/>
      <c r="NV16" s="36"/>
      <c r="NW16" s="36"/>
      <c r="NX16" s="36"/>
      <c r="NY16" s="36"/>
      <c r="NZ16" s="33"/>
      <c r="OA16" s="37">
        <v>38</v>
      </c>
      <c r="OB16" s="36">
        <v>13.771508922000001</v>
      </c>
      <c r="OC16" s="36">
        <v>9.7455393521999998</v>
      </c>
      <c r="OD16" s="36">
        <v>18.902471956999999</v>
      </c>
      <c r="OE16" s="36"/>
      <c r="OF16" s="36"/>
      <c r="OG16" s="36"/>
      <c r="OH16" s="36"/>
      <c r="OI16" s="36"/>
      <c r="OJ16" s="36"/>
      <c r="OK16" s="36"/>
      <c r="OL16" s="36"/>
      <c r="OM16" s="36"/>
      <c r="ON16" s="36"/>
      <c r="OO16" s="36"/>
      <c r="OP16" s="36"/>
      <c r="OQ16" s="36"/>
      <c r="OR16" s="36"/>
      <c r="OS16" s="33"/>
      <c r="OT16" s="43"/>
      <c r="OU16" s="44">
        <v>82</v>
      </c>
      <c r="OV16" s="36">
        <v>4800</v>
      </c>
      <c r="OW16" s="36">
        <v>17.083333332999999</v>
      </c>
      <c r="OX16" s="33">
        <v>72.754017750000003</v>
      </c>
      <c r="OY16" s="36">
        <v>18629</v>
      </c>
      <c r="OZ16" s="36">
        <v>75.638474969000001</v>
      </c>
      <c r="PA16" s="36">
        <v>74.277030784000004</v>
      </c>
      <c r="PB16" s="33">
        <v>76.999919152999993</v>
      </c>
      <c r="PC16" s="37">
        <v>3190</v>
      </c>
      <c r="PD16" s="36">
        <v>13.311078655999999</v>
      </c>
      <c r="PE16" s="36">
        <v>11.445301942</v>
      </c>
      <c r="PF16" s="33">
        <v>15.176855371</v>
      </c>
      <c r="PG16" s="45">
        <v>84.120345933999999</v>
      </c>
      <c r="PH16" s="36">
        <v>20718</v>
      </c>
      <c r="PI16" s="36">
        <v>82.100987348999993</v>
      </c>
      <c r="PJ16" s="33">
        <v>86.139704518000002</v>
      </c>
      <c r="PK16" s="33">
        <v>54988</v>
      </c>
      <c r="PL16" s="33">
        <f t="shared" si="3"/>
        <v>9780</v>
      </c>
      <c r="PM16" s="35">
        <v>17.785698698000001</v>
      </c>
      <c r="PN16" s="33">
        <f t="shared" si="4"/>
        <v>13590</v>
      </c>
      <c r="PO16" s="35">
        <v>24.71448316</v>
      </c>
      <c r="PP16" s="36">
        <v>493</v>
      </c>
      <c r="PQ16" s="35">
        <v>0.89655924929999997</v>
      </c>
      <c r="PR16" s="36">
        <v>175</v>
      </c>
      <c r="PS16" s="35">
        <v>0.31825125479999999</v>
      </c>
      <c r="PT16" s="36">
        <v>559</v>
      </c>
      <c r="PU16" s="35">
        <v>1.0165854368</v>
      </c>
      <c r="PV16" s="36">
        <v>21</v>
      </c>
      <c r="PW16" s="35">
        <v>3.81901506E-2</v>
      </c>
      <c r="PX16" s="36">
        <v>1128</v>
      </c>
      <c r="PY16" s="35">
        <v>2.0513566596000001</v>
      </c>
      <c r="PZ16" s="36">
        <v>51750</v>
      </c>
      <c r="QA16" s="35">
        <v>94.111442496999999</v>
      </c>
      <c r="QB16" s="36">
        <v>150</v>
      </c>
      <c r="QC16" s="36">
        <v>0.28416087290000003</v>
      </c>
      <c r="QD16" s="36">
        <v>3.2560722899999998E-2</v>
      </c>
      <c r="QE16" s="33">
        <v>0.53576102299999995</v>
      </c>
      <c r="QF16" s="35">
        <v>50.97293955</v>
      </c>
      <c r="QG16" s="38">
        <v>42836</v>
      </c>
      <c r="QH16" s="35">
        <v>75.588494793999999</v>
      </c>
    </row>
    <row r="20" spans="1:37" x14ac:dyDescent="0.25">
      <c r="A20" s="52" t="s">
        <v>563</v>
      </c>
      <c r="B20" t="s">
        <v>565</v>
      </c>
      <c r="C20" t="s">
        <v>566</v>
      </c>
      <c r="D20" t="s">
        <v>567</v>
      </c>
      <c r="E20" t="s">
        <v>568</v>
      </c>
      <c r="F20" t="s">
        <v>569</v>
      </c>
      <c r="G20" t="s">
        <v>570</v>
      </c>
      <c r="H20" t="s">
        <v>571</v>
      </c>
      <c r="I20" t="s">
        <v>572</v>
      </c>
      <c r="J20" t="s">
        <v>573</v>
      </c>
      <c r="K20" t="s">
        <v>574</v>
      </c>
      <c r="L20" t="s">
        <v>599</v>
      </c>
      <c r="M20" t="s">
        <v>575</v>
      </c>
      <c r="N20" t="s">
        <v>576</v>
      </c>
      <c r="O20" t="s">
        <v>577</v>
      </c>
      <c r="P20" t="s">
        <v>578</v>
      </c>
      <c r="Q20" t="s">
        <v>579</v>
      </c>
      <c r="R20" t="s">
        <v>580</v>
      </c>
      <c r="S20" t="s">
        <v>581</v>
      </c>
      <c r="T20" t="s">
        <v>582</v>
      </c>
      <c r="U20" t="s">
        <v>583</v>
      </c>
      <c r="V20" t="s">
        <v>584</v>
      </c>
      <c r="W20" t="s">
        <v>585</v>
      </c>
      <c r="X20" t="s">
        <v>586</v>
      </c>
      <c r="Y20" t="s">
        <v>587</v>
      </c>
      <c r="Z20" t="s">
        <v>588</v>
      </c>
      <c r="AA20" t="s">
        <v>601</v>
      </c>
      <c r="AB20" t="s">
        <v>589</v>
      </c>
      <c r="AC20" t="s">
        <v>590</v>
      </c>
      <c r="AD20" t="s">
        <v>591</v>
      </c>
      <c r="AE20" t="s">
        <v>592</v>
      </c>
      <c r="AF20" t="s">
        <v>593</v>
      </c>
      <c r="AG20" t="s">
        <v>594</v>
      </c>
      <c r="AH20" t="s">
        <v>595</v>
      </c>
      <c r="AI20" t="s">
        <v>596</v>
      </c>
      <c r="AJ20" t="s">
        <v>597</v>
      </c>
      <c r="AK20" t="s">
        <v>598</v>
      </c>
    </row>
    <row r="21" spans="1:37" x14ac:dyDescent="0.25">
      <c r="A21" s="53" t="s">
        <v>503</v>
      </c>
      <c r="B21">
        <v>36947</v>
      </c>
      <c r="C21">
        <v>4530</v>
      </c>
      <c r="D21">
        <v>809</v>
      </c>
      <c r="E21">
        <v>3824</v>
      </c>
      <c r="F21">
        <v>1484</v>
      </c>
      <c r="G21">
        <v>7409</v>
      </c>
      <c r="H21">
        <v>6161</v>
      </c>
      <c r="I21">
        <v>5681</v>
      </c>
      <c r="J21">
        <v>482</v>
      </c>
      <c r="K21">
        <v>112</v>
      </c>
      <c r="L21">
        <v>28879</v>
      </c>
      <c r="M21">
        <v>419</v>
      </c>
      <c r="N21">
        <v>1355</v>
      </c>
      <c r="O21">
        <v>188</v>
      </c>
      <c r="P21">
        <v>730</v>
      </c>
      <c r="Q21">
        <v>3138</v>
      </c>
      <c r="R21">
        <v>371</v>
      </c>
      <c r="S21">
        <v>885</v>
      </c>
      <c r="T21">
        <v>719</v>
      </c>
      <c r="U21">
        <v>105</v>
      </c>
      <c r="V21">
        <v>18</v>
      </c>
      <c r="W21">
        <v>716</v>
      </c>
      <c r="X21">
        <v>34</v>
      </c>
      <c r="Y21">
        <v>3759</v>
      </c>
      <c r="Z21">
        <v>4827</v>
      </c>
      <c r="AA21">
        <v>2469</v>
      </c>
      <c r="AB21">
        <v>9</v>
      </c>
      <c r="AC21">
        <v>3230</v>
      </c>
      <c r="AD21">
        <v>557.72568027</v>
      </c>
      <c r="AE21">
        <v>11</v>
      </c>
      <c r="AF21">
        <v>11050</v>
      </c>
      <c r="AG21">
        <v>1545</v>
      </c>
      <c r="AH21">
        <v>121</v>
      </c>
      <c r="AI21">
        <v>22</v>
      </c>
      <c r="AJ21">
        <v>14</v>
      </c>
      <c r="AK21">
        <v>36851</v>
      </c>
    </row>
    <row r="22" spans="1:37" x14ac:dyDescent="0.25">
      <c r="A22" s="53" t="s">
        <v>506</v>
      </c>
      <c r="B22">
        <v>35649</v>
      </c>
      <c r="C22">
        <v>6731</v>
      </c>
      <c r="D22">
        <v>734</v>
      </c>
      <c r="E22">
        <v>4310</v>
      </c>
      <c r="F22">
        <v>1880</v>
      </c>
      <c r="G22">
        <v>8069</v>
      </c>
      <c r="H22">
        <v>6723</v>
      </c>
      <c r="I22">
        <v>6105</v>
      </c>
      <c r="J22">
        <v>824</v>
      </c>
      <c r="K22">
        <v>19</v>
      </c>
      <c r="L22">
        <v>23950</v>
      </c>
      <c r="M22">
        <v>869</v>
      </c>
      <c r="N22">
        <v>1113</v>
      </c>
      <c r="O22">
        <v>140</v>
      </c>
      <c r="P22">
        <v>1343</v>
      </c>
      <c r="Q22">
        <v>1459</v>
      </c>
      <c r="R22">
        <v>272</v>
      </c>
      <c r="S22">
        <v>753</v>
      </c>
      <c r="T22">
        <v>321</v>
      </c>
      <c r="U22">
        <v>107</v>
      </c>
      <c r="V22">
        <v>46</v>
      </c>
      <c r="W22">
        <v>715</v>
      </c>
      <c r="X22">
        <v>42</v>
      </c>
      <c r="Y22">
        <v>4170</v>
      </c>
      <c r="Z22">
        <v>5301</v>
      </c>
      <c r="AA22">
        <v>2615</v>
      </c>
      <c r="AB22">
        <v>10</v>
      </c>
      <c r="AC22">
        <v>4090</v>
      </c>
      <c r="AD22">
        <v>1033.9918422000001</v>
      </c>
      <c r="AE22">
        <v>35</v>
      </c>
      <c r="AF22">
        <v>12135</v>
      </c>
      <c r="AG22">
        <v>1470</v>
      </c>
      <c r="AH22">
        <v>143</v>
      </c>
      <c r="AI22">
        <v>37</v>
      </c>
      <c r="AJ22">
        <v>25</v>
      </c>
      <c r="AK22">
        <v>35338</v>
      </c>
    </row>
    <row r="23" spans="1:37" x14ac:dyDescent="0.25">
      <c r="A23" s="53" t="s">
        <v>509</v>
      </c>
      <c r="B23">
        <v>30027</v>
      </c>
      <c r="C23">
        <v>6137</v>
      </c>
      <c r="D23">
        <v>480</v>
      </c>
      <c r="E23">
        <v>3729</v>
      </c>
      <c r="F23">
        <v>1548</v>
      </c>
      <c r="G23">
        <v>6265</v>
      </c>
      <c r="H23">
        <v>5791</v>
      </c>
      <c r="I23">
        <v>5024</v>
      </c>
      <c r="J23">
        <v>681</v>
      </c>
      <c r="K23">
        <v>90</v>
      </c>
      <c r="L23">
        <v>23230</v>
      </c>
      <c r="M23">
        <v>497</v>
      </c>
      <c r="N23">
        <v>1444</v>
      </c>
      <c r="O23">
        <v>211</v>
      </c>
      <c r="P23">
        <v>1084</v>
      </c>
      <c r="Q23">
        <v>1114</v>
      </c>
      <c r="R23">
        <v>182</v>
      </c>
      <c r="S23">
        <v>517</v>
      </c>
      <c r="T23">
        <v>104</v>
      </c>
      <c r="U23">
        <v>50</v>
      </c>
      <c r="V23">
        <v>0</v>
      </c>
      <c r="W23">
        <v>755</v>
      </c>
      <c r="X23">
        <v>151</v>
      </c>
      <c r="Y23">
        <v>3683</v>
      </c>
      <c r="Z23">
        <v>4396</v>
      </c>
      <c r="AA23">
        <v>2376</v>
      </c>
      <c r="AB23">
        <v>13</v>
      </c>
      <c r="AC23">
        <v>3520</v>
      </c>
      <c r="AD23">
        <v>521.87594111999999</v>
      </c>
      <c r="AE23">
        <v>30</v>
      </c>
      <c r="AF23">
        <v>9262</v>
      </c>
      <c r="AG23">
        <v>1223</v>
      </c>
      <c r="AH23">
        <v>108</v>
      </c>
      <c r="AI23">
        <v>46</v>
      </c>
      <c r="AJ23">
        <v>28</v>
      </c>
      <c r="AK23">
        <v>29705</v>
      </c>
    </row>
    <row r="24" spans="1:37" x14ac:dyDescent="0.25">
      <c r="A24" s="53" t="s">
        <v>512</v>
      </c>
      <c r="B24">
        <v>163414</v>
      </c>
      <c r="C24">
        <v>26625</v>
      </c>
      <c r="D24">
        <v>3435</v>
      </c>
      <c r="E24">
        <v>20346</v>
      </c>
      <c r="F24">
        <v>5626</v>
      </c>
      <c r="G24">
        <v>24654</v>
      </c>
      <c r="H24">
        <v>29054</v>
      </c>
      <c r="I24">
        <v>18580</v>
      </c>
      <c r="J24">
        <v>2929</v>
      </c>
      <c r="K24">
        <v>2555</v>
      </c>
      <c r="L24">
        <v>40680</v>
      </c>
      <c r="M24">
        <v>9195</v>
      </c>
      <c r="N24">
        <v>3084</v>
      </c>
      <c r="O24">
        <v>813</v>
      </c>
      <c r="P24">
        <v>4802</v>
      </c>
      <c r="Q24">
        <v>9840</v>
      </c>
      <c r="R24">
        <v>4157</v>
      </c>
      <c r="S24">
        <v>3956</v>
      </c>
      <c r="T24">
        <v>6160</v>
      </c>
      <c r="U24">
        <v>255</v>
      </c>
      <c r="V24">
        <v>44</v>
      </c>
      <c r="W24">
        <v>4741</v>
      </c>
      <c r="X24">
        <v>337</v>
      </c>
      <c r="Y24">
        <v>16924</v>
      </c>
      <c r="Z24">
        <v>21360</v>
      </c>
      <c r="AA24">
        <v>10844</v>
      </c>
      <c r="AB24">
        <v>43</v>
      </c>
      <c r="AC24">
        <v>15850</v>
      </c>
      <c r="AD24">
        <v>3910.6405337000001</v>
      </c>
      <c r="AE24">
        <v>76</v>
      </c>
      <c r="AF24">
        <v>48442</v>
      </c>
      <c r="AG24">
        <v>5943</v>
      </c>
      <c r="AH24">
        <v>518</v>
      </c>
      <c r="AI24">
        <v>104</v>
      </c>
      <c r="AJ24">
        <v>55</v>
      </c>
      <c r="AK24">
        <v>164306</v>
      </c>
    </row>
    <row r="25" spans="1:37" x14ac:dyDescent="0.25">
      <c r="A25" s="53" t="s">
        <v>515</v>
      </c>
      <c r="B25">
        <v>6179</v>
      </c>
      <c r="C25">
        <v>1526</v>
      </c>
      <c r="D25">
        <v>153</v>
      </c>
      <c r="E25">
        <v>860</v>
      </c>
      <c r="F25">
        <v>552</v>
      </c>
      <c r="G25">
        <v>1618</v>
      </c>
      <c r="H25">
        <v>1067</v>
      </c>
      <c r="I25">
        <v>1257</v>
      </c>
      <c r="J25">
        <v>166</v>
      </c>
      <c r="K25">
        <v>7</v>
      </c>
      <c r="L25">
        <v>6306</v>
      </c>
      <c r="M25">
        <v>17</v>
      </c>
      <c r="N25">
        <v>516</v>
      </c>
      <c r="O25">
        <v>73</v>
      </c>
      <c r="P25">
        <v>130</v>
      </c>
      <c r="Q25">
        <v>25</v>
      </c>
      <c r="R25">
        <v>46</v>
      </c>
      <c r="S25">
        <v>86</v>
      </c>
      <c r="T25">
        <v>27</v>
      </c>
      <c r="U25">
        <v>4</v>
      </c>
      <c r="V25">
        <v>0</v>
      </c>
      <c r="W25">
        <v>143</v>
      </c>
      <c r="X25">
        <v>4</v>
      </c>
      <c r="Y25">
        <v>827</v>
      </c>
      <c r="Z25">
        <v>1016</v>
      </c>
      <c r="AA25">
        <v>520</v>
      </c>
      <c r="AC25">
        <v>760</v>
      </c>
      <c r="AD25">
        <v>632.15344518999996</v>
      </c>
      <c r="AF25">
        <v>2168</v>
      </c>
      <c r="AG25">
        <v>268</v>
      </c>
      <c r="AH25">
        <v>22</v>
      </c>
      <c r="AK25">
        <v>6123</v>
      </c>
    </row>
    <row r="26" spans="1:37" x14ac:dyDescent="0.25">
      <c r="A26" s="53" t="s">
        <v>519</v>
      </c>
      <c r="B26">
        <v>49275</v>
      </c>
      <c r="C26">
        <v>7944</v>
      </c>
      <c r="D26">
        <v>1163</v>
      </c>
      <c r="E26">
        <v>5665</v>
      </c>
      <c r="F26">
        <v>3086</v>
      </c>
      <c r="G26">
        <v>7965</v>
      </c>
      <c r="H26">
        <v>10948</v>
      </c>
      <c r="I26">
        <v>6295</v>
      </c>
      <c r="J26">
        <v>947</v>
      </c>
      <c r="K26">
        <v>153</v>
      </c>
      <c r="L26">
        <v>34241</v>
      </c>
      <c r="M26">
        <v>857</v>
      </c>
      <c r="N26">
        <v>1552</v>
      </c>
      <c r="O26">
        <v>256</v>
      </c>
      <c r="P26">
        <v>1070</v>
      </c>
      <c r="Q26">
        <v>409</v>
      </c>
      <c r="R26">
        <v>188</v>
      </c>
      <c r="S26">
        <v>818</v>
      </c>
      <c r="T26">
        <v>363</v>
      </c>
      <c r="U26">
        <v>202</v>
      </c>
      <c r="V26">
        <v>0</v>
      </c>
      <c r="W26">
        <v>1521</v>
      </c>
      <c r="X26">
        <v>21</v>
      </c>
      <c r="Y26">
        <v>5863</v>
      </c>
      <c r="Z26">
        <v>7254</v>
      </c>
      <c r="AA26">
        <v>3627</v>
      </c>
      <c r="AB26">
        <v>8</v>
      </c>
      <c r="AC26">
        <v>4550</v>
      </c>
      <c r="AD26">
        <v>897.68335604000004</v>
      </c>
      <c r="AE26">
        <v>28</v>
      </c>
      <c r="AF26">
        <v>17061</v>
      </c>
      <c r="AG26">
        <v>2045</v>
      </c>
      <c r="AH26">
        <v>172</v>
      </c>
      <c r="AI26">
        <v>49</v>
      </c>
      <c r="AJ26">
        <v>29</v>
      </c>
      <c r="AK26">
        <v>49685</v>
      </c>
    </row>
    <row r="27" spans="1:37" x14ac:dyDescent="0.25">
      <c r="A27" s="53" t="s">
        <v>522</v>
      </c>
      <c r="B27">
        <v>7075</v>
      </c>
      <c r="C27">
        <v>831</v>
      </c>
      <c r="D27">
        <v>171</v>
      </c>
      <c r="E27">
        <v>787</v>
      </c>
      <c r="F27">
        <v>327</v>
      </c>
      <c r="G27">
        <v>1464</v>
      </c>
      <c r="H27">
        <v>1218</v>
      </c>
      <c r="I27">
        <v>789</v>
      </c>
      <c r="J27">
        <v>91</v>
      </c>
      <c r="K27">
        <v>12</v>
      </c>
      <c r="L27">
        <v>6970</v>
      </c>
      <c r="M27">
        <v>15</v>
      </c>
      <c r="N27">
        <v>524</v>
      </c>
      <c r="O27">
        <v>5</v>
      </c>
      <c r="P27">
        <v>65</v>
      </c>
      <c r="Q27">
        <v>0</v>
      </c>
      <c r="R27">
        <v>63</v>
      </c>
      <c r="S27">
        <v>144</v>
      </c>
      <c r="T27">
        <v>38</v>
      </c>
      <c r="U27">
        <v>102</v>
      </c>
      <c r="V27">
        <v>0</v>
      </c>
      <c r="W27">
        <v>208</v>
      </c>
      <c r="X27">
        <v>3</v>
      </c>
      <c r="Y27">
        <v>738</v>
      </c>
      <c r="Z27">
        <v>939</v>
      </c>
      <c r="AA27">
        <v>487</v>
      </c>
      <c r="AC27">
        <v>550</v>
      </c>
      <c r="AD27">
        <v>31.002810619000002</v>
      </c>
      <c r="AF27">
        <v>2219</v>
      </c>
      <c r="AG27">
        <v>277</v>
      </c>
      <c r="AH27">
        <v>27</v>
      </c>
      <c r="AK27">
        <v>7169</v>
      </c>
    </row>
    <row r="28" spans="1:37" x14ac:dyDescent="0.25">
      <c r="A28" s="53" t="s">
        <v>525</v>
      </c>
      <c r="B28">
        <v>25376</v>
      </c>
      <c r="C28">
        <v>4704</v>
      </c>
      <c r="D28">
        <v>530</v>
      </c>
      <c r="E28">
        <v>2857</v>
      </c>
      <c r="F28">
        <v>1336</v>
      </c>
      <c r="G28">
        <v>4347</v>
      </c>
      <c r="H28">
        <v>5175</v>
      </c>
      <c r="I28">
        <v>3405</v>
      </c>
      <c r="J28">
        <v>557</v>
      </c>
      <c r="K28">
        <v>76</v>
      </c>
      <c r="L28">
        <v>24475</v>
      </c>
      <c r="M28">
        <v>236</v>
      </c>
      <c r="N28">
        <v>1164</v>
      </c>
      <c r="O28">
        <v>182</v>
      </c>
      <c r="P28">
        <v>632</v>
      </c>
      <c r="Q28">
        <v>647</v>
      </c>
      <c r="R28">
        <v>230</v>
      </c>
      <c r="S28">
        <v>481</v>
      </c>
      <c r="T28">
        <v>66</v>
      </c>
      <c r="U28">
        <v>155</v>
      </c>
      <c r="V28">
        <v>0</v>
      </c>
      <c r="W28">
        <v>530</v>
      </c>
      <c r="X28">
        <v>2</v>
      </c>
      <c r="Y28">
        <v>2838</v>
      </c>
      <c r="Z28">
        <v>3573</v>
      </c>
      <c r="AA28">
        <v>1799</v>
      </c>
      <c r="AC28">
        <v>2700</v>
      </c>
      <c r="AD28">
        <v>70.824184738</v>
      </c>
      <c r="AE28">
        <v>13</v>
      </c>
      <c r="AF28">
        <v>8144</v>
      </c>
      <c r="AG28">
        <v>1267</v>
      </c>
      <c r="AH28">
        <v>136</v>
      </c>
      <c r="AI28">
        <v>22</v>
      </c>
      <c r="AJ28">
        <v>14</v>
      </c>
      <c r="AK28">
        <v>25341</v>
      </c>
    </row>
    <row r="29" spans="1:37" x14ac:dyDescent="0.25">
      <c r="A29" s="53" t="s">
        <v>528</v>
      </c>
      <c r="B29">
        <v>28873</v>
      </c>
      <c r="C29">
        <v>5126</v>
      </c>
      <c r="D29">
        <v>609</v>
      </c>
      <c r="E29">
        <v>3501</v>
      </c>
      <c r="F29">
        <v>1557</v>
      </c>
      <c r="G29">
        <v>6085</v>
      </c>
      <c r="H29">
        <v>5313</v>
      </c>
      <c r="I29">
        <v>4400</v>
      </c>
      <c r="J29">
        <v>548</v>
      </c>
      <c r="K29">
        <v>25</v>
      </c>
      <c r="L29">
        <v>28137</v>
      </c>
      <c r="M29">
        <v>189</v>
      </c>
      <c r="N29">
        <v>1576</v>
      </c>
      <c r="O29">
        <v>291</v>
      </c>
      <c r="P29">
        <v>514</v>
      </c>
      <c r="Q29">
        <v>659</v>
      </c>
      <c r="R29">
        <v>121</v>
      </c>
      <c r="S29">
        <v>398</v>
      </c>
      <c r="T29">
        <v>102</v>
      </c>
      <c r="U29">
        <v>79</v>
      </c>
      <c r="V29">
        <v>23</v>
      </c>
      <c r="W29">
        <v>593</v>
      </c>
      <c r="X29">
        <v>61</v>
      </c>
      <c r="Y29">
        <v>3316</v>
      </c>
      <c r="Z29">
        <v>4210</v>
      </c>
      <c r="AA29">
        <v>2134</v>
      </c>
      <c r="AB29">
        <v>5</v>
      </c>
      <c r="AC29">
        <v>2900</v>
      </c>
      <c r="AD29">
        <v>1004.3149991</v>
      </c>
      <c r="AE29">
        <v>15</v>
      </c>
      <c r="AF29">
        <v>9656</v>
      </c>
      <c r="AG29">
        <v>1271</v>
      </c>
      <c r="AH29">
        <v>111</v>
      </c>
      <c r="AI29">
        <v>33</v>
      </c>
      <c r="AJ29">
        <v>28</v>
      </c>
      <c r="AK29">
        <v>28837</v>
      </c>
    </row>
    <row r="30" spans="1:37" x14ac:dyDescent="0.25">
      <c r="A30" s="53" t="s">
        <v>531</v>
      </c>
      <c r="B30">
        <v>26843</v>
      </c>
      <c r="C30">
        <v>5755</v>
      </c>
      <c r="D30">
        <v>572</v>
      </c>
      <c r="E30">
        <v>3480</v>
      </c>
      <c r="F30">
        <v>2069</v>
      </c>
      <c r="G30">
        <v>6132</v>
      </c>
      <c r="H30">
        <v>5281</v>
      </c>
      <c r="I30">
        <v>4363</v>
      </c>
      <c r="J30">
        <v>533</v>
      </c>
      <c r="K30">
        <v>61</v>
      </c>
      <c r="L30">
        <v>23227</v>
      </c>
      <c r="M30">
        <v>275</v>
      </c>
      <c r="N30">
        <v>1648</v>
      </c>
      <c r="O30">
        <v>185</v>
      </c>
      <c r="P30">
        <v>771</v>
      </c>
      <c r="Q30">
        <v>949</v>
      </c>
      <c r="R30">
        <v>197</v>
      </c>
      <c r="S30">
        <v>407</v>
      </c>
      <c r="T30">
        <v>51</v>
      </c>
      <c r="U30">
        <v>143</v>
      </c>
      <c r="V30">
        <v>7</v>
      </c>
      <c r="W30">
        <v>582</v>
      </c>
      <c r="X30">
        <v>21</v>
      </c>
      <c r="Y30">
        <v>3416</v>
      </c>
      <c r="Z30">
        <v>4196</v>
      </c>
      <c r="AA30">
        <v>2367</v>
      </c>
      <c r="AB30">
        <v>8</v>
      </c>
      <c r="AC30">
        <v>3330</v>
      </c>
      <c r="AD30">
        <v>1089.2829068999999</v>
      </c>
      <c r="AE30">
        <v>17</v>
      </c>
      <c r="AF30">
        <v>9719</v>
      </c>
      <c r="AG30">
        <v>1225</v>
      </c>
      <c r="AH30">
        <v>122</v>
      </c>
      <c r="AI30">
        <v>25</v>
      </c>
      <c r="AJ30">
        <v>21</v>
      </c>
      <c r="AK30">
        <v>26897</v>
      </c>
    </row>
    <row r="31" spans="1:37" x14ac:dyDescent="0.25">
      <c r="A31" s="53" t="s">
        <v>534</v>
      </c>
      <c r="B31">
        <v>58527</v>
      </c>
      <c r="C31">
        <v>10349</v>
      </c>
      <c r="D31">
        <v>1065</v>
      </c>
      <c r="E31">
        <v>7720</v>
      </c>
      <c r="F31">
        <v>2683</v>
      </c>
      <c r="G31">
        <v>12893</v>
      </c>
      <c r="H31">
        <v>10351</v>
      </c>
      <c r="I31">
        <v>8953</v>
      </c>
      <c r="J31">
        <v>1072</v>
      </c>
      <c r="K31">
        <v>131</v>
      </c>
      <c r="L31">
        <v>37610</v>
      </c>
      <c r="M31">
        <v>2540</v>
      </c>
      <c r="N31">
        <v>2015</v>
      </c>
      <c r="O31">
        <v>1067</v>
      </c>
      <c r="P31">
        <v>1922</v>
      </c>
      <c r="Q31">
        <v>2206</v>
      </c>
      <c r="R31">
        <v>397</v>
      </c>
      <c r="S31">
        <v>903</v>
      </c>
      <c r="T31">
        <v>491</v>
      </c>
      <c r="U31">
        <v>68</v>
      </c>
      <c r="V31">
        <v>0</v>
      </c>
      <c r="W31">
        <v>1203</v>
      </c>
      <c r="X31">
        <v>33</v>
      </c>
      <c r="Y31">
        <v>6527</v>
      </c>
      <c r="Z31">
        <v>8780</v>
      </c>
      <c r="AA31">
        <v>4275</v>
      </c>
      <c r="AB31">
        <v>16</v>
      </c>
      <c r="AC31">
        <v>6330</v>
      </c>
      <c r="AD31">
        <v>3029.5257517999999</v>
      </c>
      <c r="AE31">
        <v>61</v>
      </c>
      <c r="AF31">
        <v>18455</v>
      </c>
      <c r="AG31">
        <v>2232</v>
      </c>
      <c r="AH31">
        <v>167</v>
      </c>
      <c r="AI31">
        <v>64</v>
      </c>
      <c r="AJ31">
        <v>46</v>
      </c>
      <c r="AK31">
        <v>57764</v>
      </c>
    </row>
    <row r="32" spans="1:37" x14ac:dyDescent="0.25">
      <c r="A32" s="53" t="s">
        <v>537</v>
      </c>
      <c r="B32">
        <v>58336</v>
      </c>
      <c r="C32">
        <v>10177</v>
      </c>
      <c r="D32">
        <v>1029</v>
      </c>
      <c r="E32">
        <v>6700</v>
      </c>
      <c r="F32">
        <v>2414</v>
      </c>
      <c r="G32">
        <v>11406</v>
      </c>
      <c r="H32">
        <v>10926</v>
      </c>
      <c r="I32">
        <v>7602</v>
      </c>
      <c r="J32">
        <v>1776</v>
      </c>
      <c r="K32">
        <v>108</v>
      </c>
      <c r="L32">
        <v>31437</v>
      </c>
      <c r="M32">
        <v>1675</v>
      </c>
      <c r="N32">
        <v>1675</v>
      </c>
      <c r="O32">
        <v>211</v>
      </c>
      <c r="P32">
        <v>2033</v>
      </c>
      <c r="Q32">
        <v>2378</v>
      </c>
      <c r="R32">
        <v>446</v>
      </c>
      <c r="S32">
        <v>1147</v>
      </c>
      <c r="T32">
        <v>545</v>
      </c>
      <c r="U32">
        <v>80</v>
      </c>
      <c r="V32">
        <v>42</v>
      </c>
      <c r="W32">
        <v>1274</v>
      </c>
      <c r="X32">
        <v>138</v>
      </c>
      <c r="Y32">
        <v>6299</v>
      </c>
      <c r="Z32">
        <v>7933</v>
      </c>
      <c r="AA32">
        <v>4141</v>
      </c>
      <c r="AB32">
        <v>13</v>
      </c>
      <c r="AC32">
        <v>5970</v>
      </c>
      <c r="AD32">
        <v>3531.2072254</v>
      </c>
      <c r="AE32">
        <v>49</v>
      </c>
      <c r="AF32">
        <v>16826</v>
      </c>
      <c r="AG32">
        <v>2138</v>
      </c>
      <c r="AH32">
        <v>189</v>
      </c>
      <c r="AI32">
        <v>45</v>
      </c>
      <c r="AJ32">
        <v>39</v>
      </c>
      <c r="AK32">
        <v>58328</v>
      </c>
    </row>
    <row r="33" spans="1:37" x14ac:dyDescent="0.25">
      <c r="A33" s="53" t="s">
        <v>540</v>
      </c>
      <c r="B33">
        <v>42628</v>
      </c>
      <c r="C33">
        <v>9574</v>
      </c>
      <c r="D33">
        <v>1005</v>
      </c>
      <c r="E33">
        <v>6222</v>
      </c>
      <c r="F33">
        <v>1984</v>
      </c>
      <c r="G33">
        <v>9677</v>
      </c>
      <c r="H33">
        <v>7630</v>
      </c>
      <c r="I33">
        <v>7196</v>
      </c>
      <c r="J33">
        <v>1131</v>
      </c>
      <c r="K33">
        <v>119</v>
      </c>
      <c r="L33">
        <v>30378</v>
      </c>
      <c r="M33">
        <v>1398</v>
      </c>
      <c r="N33">
        <v>1690</v>
      </c>
      <c r="O33">
        <v>178</v>
      </c>
      <c r="P33">
        <v>1291</v>
      </c>
      <c r="Q33">
        <v>1826</v>
      </c>
      <c r="R33">
        <v>459</v>
      </c>
      <c r="S33">
        <v>1027</v>
      </c>
      <c r="T33">
        <v>516</v>
      </c>
      <c r="U33">
        <v>88</v>
      </c>
      <c r="V33">
        <v>12</v>
      </c>
      <c r="W33">
        <v>1024</v>
      </c>
      <c r="X33">
        <v>58</v>
      </c>
      <c r="Y33">
        <v>4832</v>
      </c>
      <c r="Z33">
        <v>6176</v>
      </c>
      <c r="AA33">
        <v>2899</v>
      </c>
      <c r="AB33">
        <v>14</v>
      </c>
      <c r="AC33">
        <v>5280</v>
      </c>
      <c r="AD33">
        <v>1644.6617940000001</v>
      </c>
      <c r="AE33">
        <v>64</v>
      </c>
      <c r="AF33">
        <v>12618</v>
      </c>
      <c r="AG33">
        <v>1798</v>
      </c>
      <c r="AH33">
        <v>144</v>
      </c>
      <c r="AI33">
        <v>57</v>
      </c>
      <c r="AJ33">
        <v>24</v>
      </c>
      <c r="AK33">
        <v>42015</v>
      </c>
    </row>
    <row r="34" spans="1:37" x14ac:dyDescent="0.25">
      <c r="A34" s="53" t="s">
        <v>543</v>
      </c>
      <c r="B34">
        <v>55191</v>
      </c>
      <c r="C34">
        <v>9179</v>
      </c>
      <c r="D34">
        <v>1090</v>
      </c>
      <c r="E34">
        <v>6833</v>
      </c>
      <c r="F34">
        <v>2211</v>
      </c>
      <c r="G34">
        <v>12888</v>
      </c>
      <c r="H34">
        <v>9994</v>
      </c>
      <c r="I34">
        <v>8169</v>
      </c>
      <c r="J34">
        <v>1040</v>
      </c>
      <c r="K34">
        <v>150</v>
      </c>
      <c r="L34">
        <v>42836</v>
      </c>
      <c r="M34">
        <v>1556</v>
      </c>
      <c r="N34">
        <v>2268</v>
      </c>
      <c r="O34">
        <v>350</v>
      </c>
      <c r="P34">
        <v>1253</v>
      </c>
      <c r="Q34">
        <v>826</v>
      </c>
      <c r="R34">
        <v>367</v>
      </c>
      <c r="S34">
        <v>996</v>
      </c>
      <c r="T34">
        <v>539</v>
      </c>
      <c r="U34">
        <v>100</v>
      </c>
      <c r="V34">
        <v>0</v>
      </c>
      <c r="W34">
        <v>976</v>
      </c>
      <c r="X34">
        <v>67</v>
      </c>
      <c r="Y34">
        <v>6049</v>
      </c>
      <c r="Z34">
        <v>7643</v>
      </c>
      <c r="AA34">
        <v>3849</v>
      </c>
      <c r="AB34">
        <v>17</v>
      </c>
      <c r="AC34">
        <v>5470</v>
      </c>
      <c r="AD34">
        <v>655.55700645000002</v>
      </c>
      <c r="AE34">
        <v>70</v>
      </c>
      <c r="AF34">
        <v>17819</v>
      </c>
      <c r="AG34">
        <v>2448</v>
      </c>
      <c r="AH34">
        <v>218</v>
      </c>
      <c r="AI34">
        <v>60</v>
      </c>
      <c r="AJ34">
        <v>38</v>
      </c>
      <c r="AK34">
        <v>54988</v>
      </c>
    </row>
    <row r="35" spans="1:37" x14ac:dyDescent="0.25">
      <c r="A35" s="53" t="s">
        <v>564</v>
      </c>
      <c r="B35">
        <v>624340</v>
      </c>
      <c r="C35">
        <v>109188</v>
      </c>
      <c r="D35">
        <v>12845</v>
      </c>
      <c r="E35">
        <v>76834</v>
      </c>
      <c r="F35">
        <v>28757</v>
      </c>
      <c r="G35">
        <v>120872</v>
      </c>
      <c r="H35">
        <v>115632</v>
      </c>
      <c r="I35">
        <v>87819</v>
      </c>
      <c r="J35">
        <v>12777</v>
      </c>
      <c r="K35">
        <v>3618</v>
      </c>
      <c r="L35">
        <v>382356</v>
      </c>
      <c r="M35">
        <v>19738</v>
      </c>
      <c r="N35">
        <v>21624</v>
      </c>
      <c r="O35">
        <v>4150</v>
      </c>
      <c r="P35">
        <v>17640</v>
      </c>
      <c r="Q35">
        <v>25476</v>
      </c>
      <c r="R35">
        <v>7496</v>
      </c>
      <c r="S35">
        <v>12518</v>
      </c>
      <c r="T35">
        <v>10042</v>
      </c>
      <c r="U35">
        <v>1538</v>
      </c>
      <c r="V35">
        <v>192</v>
      </c>
      <c r="W35">
        <v>14981</v>
      </c>
      <c r="X35">
        <v>972</v>
      </c>
      <c r="Y35">
        <v>69241</v>
      </c>
      <c r="Z35">
        <v>87604</v>
      </c>
      <c r="AA35">
        <v>44402</v>
      </c>
      <c r="AB35">
        <v>156</v>
      </c>
      <c r="AC35">
        <v>64530</v>
      </c>
      <c r="AD35" s="54">
        <v>18610.447477526999</v>
      </c>
      <c r="AE35">
        <v>469</v>
      </c>
      <c r="AF35">
        <v>195574</v>
      </c>
      <c r="AG35">
        <v>25150</v>
      </c>
      <c r="AH35">
        <v>2198</v>
      </c>
      <c r="AI35">
        <v>564</v>
      </c>
      <c r="AJ35">
        <v>361</v>
      </c>
      <c r="AK35">
        <v>623347</v>
      </c>
    </row>
  </sheetData>
  <mergeCells count="40">
    <mergeCell ref="IC1:IE1"/>
    <mergeCell ref="FC1:FD1"/>
    <mergeCell ref="FE1:FV1"/>
    <mergeCell ref="FW1:GO1"/>
    <mergeCell ref="GP1:HH1"/>
    <mergeCell ref="HI1:IA1"/>
    <mergeCell ref="KT1:KU1"/>
    <mergeCell ref="IG1:II1"/>
    <mergeCell ref="IK1:IM1"/>
    <mergeCell ref="IN1:IO1"/>
    <mergeCell ref="IP1:IQ1"/>
    <mergeCell ref="IR1:IS1"/>
    <mergeCell ref="IT1:JL1"/>
    <mergeCell ref="JM1:KE1"/>
    <mergeCell ref="KG1:KI1"/>
    <mergeCell ref="KJ1:KM1"/>
    <mergeCell ref="KN1:KQ1"/>
    <mergeCell ref="KR1:KS1"/>
    <mergeCell ref="OY1:PB1"/>
    <mergeCell ref="KV1:KX1"/>
    <mergeCell ref="KY1:LC1"/>
    <mergeCell ref="LD1:LH1"/>
    <mergeCell ref="LJ1:LK1"/>
    <mergeCell ref="LL1:LP1"/>
    <mergeCell ref="LQ1:MH1"/>
    <mergeCell ref="MM1:MN1"/>
    <mergeCell ref="MO1:NF1"/>
    <mergeCell ref="NG1:NZ1"/>
    <mergeCell ref="OA1:OS1"/>
    <mergeCell ref="OT1:OW1"/>
    <mergeCell ref="PX1:PY1"/>
    <mergeCell ref="PZ1:QA1"/>
    <mergeCell ref="QB1:QE1"/>
    <mergeCell ref="QG1:QH1"/>
    <mergeCell ref="PC1:PF1"/>
    <mergeCell ref="PG1:PJ1"/>
    <mergeCell ref="PP1:PQ1"/>
    <mergeCell ref="PR1:PS1"/>
    <mergeCell ref="PT1:PU1"/>
    <mergeCell ref="PV1:PW1"/>
  </mergeCells>
  <pageMargins left="0.7" right="0.7" top="0.75" bottom="0.75" header="0.3" footer="0.3"/>
  <pageSetup orientation="portrait" horizontalDpi="300" verticalDpi="3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634AD-AF1B-408F-9EB1-71910A3D72E5}">
  <sheetPr codeName="Sheet11"/>
  <dimension ref="A1:D44"/>
  <sheetViews>
    <sheetView workbookViewId="0">
      <selection activeCell="J18" sqref="J18"/>
    </sheetView>
  </sheetViews>
  <sheetFormatPr defaultRowHeight="15" x14ac:dyDescent="0.25"/>
  <cols>
    <col min="1" max="1" width="15.42578125" bestFit="1" customWidth="1"/>
    <col min="2" max="2" width="32.85546875" bestFit="1" customWidth="1"/>
    <col min="3" max="3" width="20.85546875" bestFit="1" customWidth="1"/>
    <col min="4" max="4" width="19" bestFit="1" customWidth="1"/>
    <col min="7" max="10" width="9.140625" customWidth="1"/>
  </cols>
  <sheetData>
    <row r="1" spans="1:4" x14ac:dyDescent="0.25">
      <c r="A1" s="6" t="s">
        <v>15</v>
      </c>
      <c r="B1" s="6" t="s">
        <v>16</v>
      </c>
      <c r="C1" s="6" t="s">
        <v>17</v>
      </c>
      <c r="D1" s="6" t="s">
        <v>18</v>
      </c>
    </row>
    <row r="2" spans="1:4" x14ac:dyDescent="0.25">
      <c r="A2" s="1" t="s">
        <v>0</v>
      </c>
      <c r="B2" s="1" t="s">
        <v>1</v>
      </c>
      <c r="C2" s="1" t="s">
        <v>2</v>
      </c>
      <c r="D2" s="1" t="s">
        <v>1</v>
      </c>
    </row>
    <row r="3" spans="1:4" x14ac:dyDescent="0.25">
      <c r="A3" s="1" t="s">
        <v>3</v>
      </c>
      <c r="B3" s="1" t="s">
        <v>4</v>
      </c>
      <c r="C3" s="1" t="s">
        <v>5</v>
      </c>
      <c r="D3" s="1" t="s">
        <v>4</v>
      </c>
    </row>
    <row r="4" spans="1:4" x14ac:dyDescent="0.25">
      <c r="A4" s="1" t="s">
        <v>6</v>
      </c>
      <c r="B4" s="1" t="s">
        <v>7</v>
      </c>
      <c r="C4" s="1" t="s">
        <v>8</v>
      </c>
      <c r="D4" s="1" t="s">
        <v>7</v>
      </c>
    </row>
    <row r="5" spans="1:4" x14ac:dyDescent="0.25">
      <c r="A5" s="1" t="s">
        <v>9</v>
      </c>
      <c r="B5" s="1" t="s">
        <v>10</v>
      </c>
      <c r="C5" s="1" t="s">
        <v>11</v>
      </c>
      <c r="D5" s="1" t="s">
        <v>10</v>
      </c>
    </row>
    <row r="6" spans="1:4" x14ac:dyDescent="0.25">
      <c r="A6" s="1" t="s">
        <v>12</v>
      </c>
      <c r="B6" s="1" t="s">
        <v>13</v>
      </c>
      <c r="C6" s="1" t="s">
        <v>14</v>
      </c>
      <c r="D6" s="1" t="s">
        <v>13</v>
      </c>
    </row>
    <row r="9" spans="1:4" ht="18.75" x14ac:dyDescent="0.25">
      <c r="A9" s="167" t="s">
        <v>19</v>
      </c>
      <c r="B9" s="167"/>
      <c r="C9" s="167"/>
      <c r="D9" s="167"/>
    </row>
    <row r="10" spans="1:4" ht="15.75" x14ac:dyDescent="0.25">
      <c r="A10" s="168" t="s">
        <v>20</v>
      </c>
      <c r="B10" s="168"/>
      <c r="C10" s="7" t="s">
        <v>21</v>
      </c>
      <c r="D10" s="7" t="s">
        <v>22</v>
      </c>
    </row>
    <row r="11" spans="1:4" ht="15.75" x14ac:dyDescent="0.25">
      <c r="A11" s="152" t="s">
        <v>23</v>
      </c>
      <c r="B11" s="3" t="s">
        <v>24</v>
      </c>
      <c r="C11" s="55">
        <f>InputCounties!C$2</f>
        <v>0.17488547906589358</v>
      </c>
      <c r="D11" s="56">
        <f>GETPIVOTDATA("Sum of E_POV150",InputCounties!$A$3)</f>
        <v>109188</v>
      </c>
    </row>
    <row r="12" spans="1:4" ht="15.75" x14ac:dyDescent="0.25">
      <c r="A12" s="152"/>
      <c r="B12" s="3" t="s">
        <v>25</v>
      </c>
      <c r="C12" s="55">
        <f>InputCounties!D$2</f>
        <v>2.0573725854502355E-2</v>
      </c>
      <c r="D12" s="56">
        <f>GETPIVOTDATA("Sum of E_UNEMP",InputCounties!$A$3)</f>
        <v>12845</v>
      </c>
    </row>
    <row r="13" spans="1:4" ht="15.75" x14ac:dyDescent="0.25">
      <c r="A13" s="152"/>
      <c r="B13" s="3" t="s">
        <v>26</v>
      </c>
      <c r="C13" s="55">
        <f>InputCounties!E$2</f>
        <v>0.12306435595989365</v>
      </c>
      <c r="D13" s="56">
        <f>GETPIVOTDATA("Sum of E_HBURD",InputCounties!$A$3)</f>
        <v>76834</v>
      </c>
    </row>
    <row r="14" spans="1:4" ht="15.75" x14ac:dyDescent="0.25">
      <c r="A14" s="152"/>
      <c r="B14" s="3" t="s">
        <v>27</v>
      </c>
      <c r="C14" s="55">
        <f>InputCounties!F$2</f>
        <v>4.6059839190184838E-2</v>
      </c>
      <c r="D14" s="56">
        <f>GETPIVOTDATA("Sum of E_NOHSDP",InputCounties!$A$3)</f>
        <v>28757</v>
      </c>
    </row>
    <row r="15" spans="1:4" ht="15.75" x14ac:dyDescent="0.25">
      <c r="A15" s="160" t="s">
        <v>28</v>
      </c>
      <c r="B15" s="3" t="s">
        <v>29</v>
      </c>
      <c r="C15" s="55">
        <f>InputCounties!G$2</f>
        <v>0.19359964122112952</v>
      </c>
      <c r="D15" s="56">
        <f>GETPIVOTDATA("Sum of E_AGE65",InputCounties!$A$3)</f>
        <v>120872</v>
      </c>
    </row>
    <row r="16" spans="1:4" ht="15.75" x14ac:dyDescent="0.25">
      <c r="A16" s="160"/>
      <c r="B16" s="3" t="s">
        <v>30</v>
      </c>
      <c r="C16" s="55">
        <f>InputCounties!H$2</f>
        <v>0.18520677835794599</v>
      </c>
      <c r="D16" s="56">
        <f>GETPIVOTDATA("Sum of E_AGE17",InputCounties!$A$3)</f>
        <v>115632</v>
      </c>
    </row>
    <row r="17" spans="1:4" ht="15.75" x14ac:dyDescent="0.25">
      <c r="A17" s="160"/>
      <c r="B17" s="3" t="s">
        <v>31</v>
      </c>
      <c r="C17" s="55">
        <f>InputCounties!I$2</f>
        <v>0.14065893583624306</v>
      </c>
      <c r="D17" s="56">
        <f>GETPIVOTDATA("Sum of E_DISABL",InputCounties!$A$3)</f>
        <v>87819</v>
      </c>
    </row>
    <row r="18" spans="1:4" ht="15.75" x14ac:dyDescent="0.25">
      <c r="A18" s="160"/>
      <c r="B18" s="3" t="s">
        <v>32</v>
      </c>
      <c r="C18" s="55">
        <f>InputCounties!J$2</f>
        <v>2.0464810840247302E-2</v>
      </c>
      <c r="D18" s="56">
        <f>GETPIVOTDATA("Sum of E_SNGPNT",InputCounties!$A$3)</f>
        <v>12777</v>
      </c>
    </row>
    <row r="19" spans="1:4" ht="15.75" x14ac:dyDescent="0.25">
      <c r="A19" s="160"/>
      <c r="B19" s="3" t="s">
        <v>600</v>
      </c>
      <c r="C19" s="55">
        <f>InputCounties!K$2</f>
        <v>5.7949194349232788E-3</v>
      </c>
      <c r="D19" s="56">
        <f>GETPIVOTDATA("Sum of E_LIMENG",InputCounties!$A$3)</f>
        <v>3618</v>
      </c>
    </row>
    <row r="20" spans="1:4" ht="15.75" x14ac:dyDescent="0.25">
      <c r="A20" s="160"/>
      <c r="B20" s="3" t="s">
        <v>33</v>
      </c>
      <c r="C20" s="55">
        <f>InputCounties!L$2</f>
        <v>0.61339189889419532</v>
      </c>
      <c r="D20" s="56">
        <f>GETPIVOTDATA("Sum of # rural residents",InputCounties!$A$3)</f>
        <v>382356</v>
      </c>
    </row>
    <row r="21" spans="1:4" ht="15.75" x14ac:dyDescent="0.25">
      <c r="A21" s="152" t="s">
        <v>34</v>
      </c>
      <c r="B21" s="3" t="s">
        <v>35</v>
      </c>
      <c r="C21" s="55">
        <f>InputCounties!M$2</f>
        <v>3.1614184578915336E-2</v>
      </c>
      <c r="D21" s="56">
        <f>GETPIVOTDATA("Sum of E_MUNIT",InputCounties!$A$3)</f>
        <v>19738</v>
      </c>
    </row>
    <row r="22" spans="1:4" ht="15.75" x14ac:dyDescent="0.25">
      <c r="A22" s="152"/>
      <c r="B22" s="3" t="s">
        <v>36</v>
      </c>
      <c r="C22" s="55">
        <f>InputCounties!N$2</f>
        <v>3.463497453310696E-2</v>
      </c>
      <c r="D22" s="56">
        <f>GETPIVOTDATA("Sum of E_MOBILE",InputCounties!$A$3)</f>
        <v>21624</v>
      </c>
    </row>
    <row r="23" spans="1:4" ht="15.75" x14ac:dyDescent="0.25">
      <c r="A23" s="152"/>
      <c r="B23" s="3" t="s">
        <v>37</v>
      </c>
      <c r="C23" s="55">
        <f>InputCounties!O$2</f>
        <v>6.6470192523304609E-3</v>
      </c>
      <c r="D23" s="56">
        <f>GETPIVOTDATA("Sum of E_CROWD",InputCounties!$A$3)</f>
        <v>4150</v>
      </c>
    </row>
    <row r="24" spans="1:4" ht="15.75" x14ac:dyDescent="0.25">
      <c r="A24" s="152"/>
      <c r="B24" s="3" t="s">
        <v>38</v>
      </c>
      <c r="C24" s="55">
        <f>InputCounties!P$2</f>
        <v>2.8253836050869719E-2</v>
      </c>
      <c r="D24" s="56">
        <f>GETPIVOTDATA("Sum of E_NOVEH",InputCounties!$A$3)</f>
        <v>17640</v>
      </c>
    </row>
    <row r="25" spans="1:4" ht="15.75" x14ac:dyDescent="0.25">
      <c r="A25" s="152"/>
      <c r="B25" s="3" t="s">
        <v>39</v>
      </c>
      <c r="C25" s="55">
        <f>InputCounties!Q$2</f>
        <v>4.0804689752378512E-2</v>
      </c>
      <c r="D25" s="56">
        <f>GETPIVOTDATA("Sum of E_GROUPQ",InputCounties!$A$3)</f>
        <v>25476</v>
      </c>
    </row>
    <row r="26" spans="1:4" ht="15.75" x14ac:dyDescent="0.25">
      <c r="A26" s="160" t="s">
        <v>40</v>
      </c>
      <c r="B26" s="3" t="s">
        <v>41</v>
      </c>
      <c r="C26" s="55">
        <f>InputCounties!R$2</f>
        <v>1.2006278630233527E-2</v>
      </c>
      <c r="D26" s="56">
        <f>GETPIVOTDATA("Sum of E_AFAM",InputCounties!$A$3)</f>
        <v>7496</v>
      </c>
    </row>
    <row r="27" spans="1:4" ht="15.75" x14ac:dyDescent="0.25">
      <c r="A27" s="160"/>
      <c r="B27" s="3" t="s">
        <v>42</v>
      </c>
      <c r="C27" s="55">
        <f>InputCounties!S$2</f>
        <v>2.0049972771246437E-2</v>
      </c>
      <c r="D27" s="56">
        <f>GETPIVOTDATA("Sum of E_HISP",InputCounties!$A$3)</f>
        <v>12518</v>
      </c>
    </row>
    <row r="28" spans="1:4" ht="15.75" x14ac:dyDescent="0.25">
      <c r="A28" s="160"/>
      <c r="B28" s="3" t="s">
        <v>43</v>
      </c>
      <c r="C28" s="55">
        <f>InputCounties!T$2</f>
        <v>1.608418489925361E-2</v>
      </c>
      <c r="D28" s="56">
        <f>GETPIVOTDATA("Sum of E_ASIAN",InputCounties!$A$3)</f>
        <v>10042</v>
      </c>
    </row>
    <row r="29" spans="1:4" ht="15.75" x14ac:dyDescent="0.25">
      <c r="A29" s="160"/>
      <c r="B29" s="3" t="s">
        <v>44</v>
      </c>
      <c r="C29" s="55">
        <f>InputCounties!U$2</f>
        <v>2.4634013518275298E-3</v>
      </c>
      <c r="D29" s="56">
        <f>GETPIVOTDATA("Sum of E_AIAN",InputCounties!$A$3)</f>
        <v>1538</v>
      </c>
    </row>
    <row r="30" spans="1:4" ht="15.75" x14ac:dyDescent="0.25">
      <c r="A30" s="160"/>
      <c r="B30" s="3" t="s">
        <v>45</v>
      </c>
      <c r="C30" s="55">
        <f>InputCounties!V$2</f>
        <v>3.075247461319153E-4</v>
      </c>
      <c r="D30" s="56">
        <f>GETPIVOTDATA("Sum of E_NHPI",InputCounties!$A$3)</f>
        <v>192</v>
      </c>
    </row>
    <row r="31" spans="1:4" ht="15.75" x14ac:dyDescent="0.25">
      <c r="A31" s="160"/>
      <c r="B31" s="3" t="s">
        <v>46</v>
      </c>
      <c r="C31" s="55">
        <f>InputCounties!W$2</f>
        <v>2.3994938655219913E-2</v>
      </c>
      <c r="D31" s="56">
        <f>GETPIVOTDATA("Sum of E_TWOMORE",InputCounties!$A$3)</f>
        <v>14981</v>
      </c>
    </row>
    <row r="32" spans="1:4" ht="15.75" x14ac:dyDescent="0.25">
      <c r="A32" s="160"/>
      <c r="B32" s="4" t="s">
        <v>47</v>
      </c>
      <c r="C32" s="55">
        <f>InputCounties!X$2</f>
        <v>1.5568440272928212E-3</v>
      </c>
      <c r="D32" s="56">
        <f>GETPIVOTDATA("Sum of E_OTHERRACE",InputCounties!$A$3)</f>
        <v>972</v>
      </c>
    </row>
    <row r="33" spans="1:4" ht="15.75" x14ac:dyDescent="0.25">
      <c r="A33" s="152" t="s">
        <v>48</v>
      </c>
      <c r="B33" s="5" t="s">
        <v>49</v>
      </c>
      <c r="C33" s="55">
        <f>InputCounties!Y$2</f>
        <v>0.11107938275150117</v>
      </c>
      <c r="D33" s="56">
        <f>GETPIVOTDATA("Sum of # Frequent Physical Distress",InputCounties!$A$3)</f>
        <v>69241</v>
      </c>
    </row>
    <row r="34" spans="1:4" ht="15.75" x14ac:dyDescent="0.25">
      <c r="A34" s="152"/>
      <c r="B34" s="5" t="s">
        <v>50</v>
      </c>
      <c r="C34" s="55">
        <f>InputCounties!Z$2</f>
        <v>0.14053809515406346</v>
      </c>
      <c r="D34" s="56">
        <f>GETPIVOTDATA("Sum of # Frequent Mental Distress",InputCounties!$A$3)</f>
        <v>87604</v>
      </c>
    </row>
    <row r="35" spans="1:4" ht="15.75" x14ac:dyDescent="0.25">
      <c r="A35" s="152"/>
      <c r="B35" s="5" t="s">
        <v>51</v>
      </c>
      <c r="C35" s="55">
        <f>InputCounties!AA$2</f>
        <v>7.1231593318007463E-2</v>
      </c>
      <c r="D35" s="56">
        <f>GETPIVOTDATA("Sum of # Adults with Diabetes",InputCounties!$A$3)</f>
        <v>44402</v>
      </c>
    </row>
    <row r="36" spans="1:4" ht="15.75" x14ac:dyDescent="0.25">
      <c r="A36" s="152"/>
      <c r="B36" s="5" t="s">
        <v>52</v>
      </c>
      <c r="C36" s="55">
        <f>InputCounties!AB$2</f>
        <v>2.5026189265369049E-4</v>
      </c>
      <c r="D36" s="56">
        <f>GETPIVOTDATA("Sum of # HIV Cases",InputCounties!$A$3)</f>
        <v>156</v>
      </c>
    </row>
    <row r="37" spans="1:4" ht="15.75" x14ac:dyDescent="0.25">
      <c r="A37" s="152"/>
      <c r="B37" s="5" t="s">
        <v>53</v>
      </c>
      <c r="C37" s="55">
        <f>InputCounties!AC$2</f>
        <v>0.10352179444194004</v>
      </c>
      <c r="D37" s="56">
        <f>GETPIVOTDATA("Sum of # Food Insecure",InputCounties!$A$3)</f>
        <v>64530</v>
      </c>
    </row>
    <row r="38" spans="1:4" ht="15.75" x14ac:dyDescent="0.25">
      <c r="A38" s="152"/>
      <c r="B38" s="5" t="s">
        <v>54</v>
      </c>
      <c r="C38" s="55">
        <f>InputCounties!AD$2</f>
        <v>2.9855678261910299E-2</v>
      </c>
      <c r="D38" s="56">
        <f>GETPIVOTDATA("Sum of # Limited Access",InputCounties!$A$3)</f>
        <v>18610.447477526999</v>
      </c>
    </row>
    <row r="39" spans="1:4" ht="15.75" x14ac:dyDescent="0.25">
      <c r="A39" s="152"/>
      <c r="B39" s="5" t="s">
        <v>55</v>
      </c>
      <c r="C39" s="55">
        <f>InputCounties!AE$2</f>
        <v>7.5238992086269763E-4</v>
      </c>
      <c r="D39" s="56">
        <f>GETPIVOTDATA("Sum of # Drug Overdose Deaths",InputCounties!$A$3)</f>
        <v>469</v>
      </c>
    </row>
    <row r="40" spans="1:4" ht="15.75" x14ac:dyDescent="0.25">
      <c r="A40" s="152"/>
      <c r="B40" s="5" t="s">
        <v>56</v>
      </c>
      <c r="C40" s="55">
        <f>InputCounties!AF$2</f>
        <v>0.31374820124264657</v>
      </c>
      <c r="D40" s="56">
        <f>GETPIVOTDATA("Sum of # Insuficient Sleep",InputCounties!$A$3)</f>
        <v>195574</v>
      </c>
    </row>
    <row r="41" spans="1:4" ht="15.75" x14ac:dyDescent="0.25">
      <c r="A41" s="152"/>
      <c r="B41" s="5" t="s">
        <v>57</v>
      </c>
      <c r="C41" s="55">
        <f>InputCounties!AG$2</f>
        <v>4.034670897589946E-2</v>
      </c>
      <c r="D41" s="56">
        <f>GETPIVOTDATA("Sum of # Uninsured",InputCounties!$A$3)</f>
        <v>25150</v>
      </c>
    </row>
    <row r="42" spans="1:4" ht="15.75" x14ac:dyDescent="0.25">
      <c r="A42" s="152"/>
      <c r="B42" s="5" t="s">
        <v>58</v>
      </c>
      <c r="C42" s="55">
        <f>InputCounties!AH$2</f>
        <v>3.526125897774434E-3</v>
      </c>
      <c r="D42" s="56">
        <f>GETPIVOTDATA("Sum of # Uninsured2",InputCounties!$A$3)</f>
        <v>2198</v>
      </c>
    </row>
    <row r="43" spans="1:4" ht="15.75" x14ac:dyDescent="0.25">
      <c r="A43" s="152"/>
      <c r="B43" s="5" t="s">
        <v>59</v>
      </c>
      <c r="C43" s="55">
        <f>InputCounties!AI$2</f>
        <v>9.0479299651718861E-4</v>
      </c>
      <c r="D43" s="56">
        <f>GETPIVOTDATA("Sum of # Deaths4",InputCounties!$A$3)</f>
        <v>564</v>
      </c>
    </row>
    <row r="44" spans="1:4" ht="15.75" x14ac:dyDescent="0.25">
      <c r="A44" s="152"/>
      <c r="B44" s="5" t="s">
        <v>60</v>
      </c>
      <c r="C44" s="55">
        <f>InputCounties!AJ$2</f>
        <v>5.7913168748706574E-4</v>
      </c>
      <c r="D44" s="56">
        <f>GETPIVOTDATA("Sum of # Firearm Fatalities",InputCounties!$A$3)</f>
        <v>361</v>
      </c>
    </row>
  </sheetData>
  <mergeCells count="7">
    <mergeCell ref="A33:A44"/>
    <mergeCell ref="A9:D9"/>
    <mergeCell ref="A10:B10"/>
    <mergeCell ref="A11:A14"/>
    <mergeCell ref="A15:A20"/>
    <mergeCell ref="A21:A25"/>
    <mergeCell ref="A26:A32"/>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DDD15-32DC-474A-B988-1FBF7168C945}">
  <sheetPr codeName="Sheet2"/>
  <dimension ref="A1:M14"/>
  <sheetViews>
    <sheetView workbookViewId="0">
      <selection sqref="A1:B1"/>
    </sheetView>
  </sheetViews>
  <sheetFormatPr defaultRowHeight="15" x14ac:dyDescent="0.25"/>
  <cols>
    <col min="1" max="1" width="26.85546875" customWidth="1"/>
    <col min="2" max="2" width="27.140625" customWidth="1"/>
  </cols>
  <sheetData>
    <row r="1" spans="1:13" ht="18.75" x14ac:dyDescent="0.25">
      <c r="A1" s="133" t="s">
        <v>603</v>
      </c>
      <c r="B1" s="134"/>
      <c r="D1" s="103"/>
      <c r="E1" s="104"/>
      <c r="F1" s="104"/>
      <c r="G1" s="104"/>
      <c r="H1" s="104"/>
      <c r="I1" s="104"/>
      <c r="J1" s="104"/>
      <c r="K1" s="104"/>
      <c r="L1" s="104"/>
      <c r="M1" s="104"/>
    </row>
    <row r="2" spans="1:13" ht="47.25" x14ac:dyDescent="0.25">
      <c r="A2" s="49" t="s">
        <v>604</v>
      </c>
      <c r="B2" s="49" t="s">
        <v>605</v>
      </c>
      <c r="D2" s="104"/>
      <c r="E2" s="104"/>
      <c r="F2" s="104"/>
      <c r="G2" s="104"/>
      <c r="H2" s="104"/>
      <c r="I2" s="104"/>
      <c r="J2" s="104"/>
      <c r="K2" s="104"/>
      <c r="L2" s="104"/>
      <c r="M2" s="104"/>
    </row>
    <row r="3" spans="1:13" ht="15.75" x14ac:dyDescent="0.25">
      <c r="A3" s="101" t="s">
        <v>610</v>
      </c>
      <c r="B3" s="102"/>
      <c r="D3" s="104"/>
      <c r="E3" s="104"/>
      <c r="F3" s="104"/>
      <c r="G3" s="104"/>
      <c r="H3" s="104"/>
      <c r="I3" s="104"/>
      <c r="J3" s="104"/>
      <c r="K3" s="104"/>
      <c r="L3" s="104"/>
      <c r="M3" s="104"/>
    </row>
    <row r="4" spans="1:13" ht="15.75" x14ac:dyDescent="0.25">
      <c r="A4" s="101" t="s">
        <v>606</v>
      </c>
      <c r="B4" s="102"/>
      <c r="D4" s="104"/>
      <c r="E4" s="104"/>
      <c r="F4" s="104"/>
      <c r="G4" s="104"/>
      <c r="H4" s="104"/>
      <c r="I4" s="104"/>
      <c r="J4" s="104"/>
      <c r="K4" s="104"/>
      <c r="L4" s="104"/>
      <c r="M4" s="104"/>
    </row>
    <row r="5" spans="1:13" ht="15.75" x14ac:dyDescent="0.25">
      <c r="A5" s="101" t="s">
        <v>607</v>
      </c>
      <c r="B5" s="102"/>
      <c r="D5" s="104"/>
      <c r="E5" s="104"/>
      <c r="F5" s="104"/>
      <c r="G5" s="104"/>
      <c r="H5" s="104"/>
      <c r="I5" s="104"/>
      <c r="J5" s="104"/>
      <c r="K5" s="104"/>
      <c r="L5" s="104"/>
      <c r="M5" s="104"/>
    </row>
    <row r="6" spans="1:13" ht="15.75" x14ac:dyDescent="0.25">
      <c r="A6" s="101" t="s">
        <v>608</v>
      </c>
      <c r="B6" s="102"/>
      <c r="D6" s="104"/>
      <c r="E6" s="104"/>
      <c r="F6" s="104"/>
      <c r="G6" s="104"/>
      <c r="H6" s="104"/>
      <c r="I6" s="104"/>
      <c r="J6" s="104"/>
      <c r="K6" s="104"/>
      <c r="L6" s="104"/>
      <c r="M6" s="104"/>
    </row>
    <row r="7" spans="1:13" ht="15.75" x14ac:dyDescent="0.25">
      <c r="A7" s="101" t="s">
        <v>609</v>
      </c>
      <c r="B7" s="102"/>
      <c r="D7" s="104"/>
      <c r="E7" s="104"/>
      <c r="F7" s="104"/>
      <c r="G7" s="104"/>
      <c r="H7" s="104"/>
      <c r="I7" s="104"/>
      <c r="J7" s="104"/>
      <c r="K7" s="104"/>
      <c r="L7" s="104"/>
      <c r="M7" s="104"/>
    </row>
    <row r="8" spans="1:13" x14ac:dyDescent="0.25">
      <c r="D8" s="104"/>
      <c r="E8" s="104"/>
      <c r="F8" s="104"/>
      <c r="G8" s="104"/>
      <c r="H8" s="104"/>
      <c r="I8" s="104"/>
      <c r="J8" s="104"/>
      <c r="K8" s="104"/>
      <c r="L8" s="104"/>
      <c r="M8" s="104"/>
    </row>
    <row r="9" spans="1:13" x14ac:dyDescent="0.25">
      <c r="D9" s="104"/>
      <c r="E9" s="104"/>
      <c r="F9" s="104"/>
      <c r="G9" s="104"/>
      <c r="H9" s="104"/>
      <c r="I9" s="104"/>
      <c r="J9" s="104"/>
      <c r="K9" s="104"/>
      <c r="L9" s="104"/>
      <c r="M9" s="104"/>
    </row>
    <row r="10" spans="1:13" x14ac:dyDescent="0.25">
      <c r="D10" s="104"/>
      <c r="E10" s="104"/>
      <c r="F10" s="104"/>
      <c r="G10" s="104"/>
      <c r="H10" s="104"/>
      <c r="I10" s="104"/>
      <c r="J10" s="104"/>
      <c r="K10" s="104"/>
      <c r="L10" s="104"/>
      <c r="M10" s="104"/>
    </row>
    <row r="11" spans="1:13" x14ac:dyDescent="0.25">
      <c r="D11" s="104"/>
      <c r="E11" s="104"/>
      <c r="F11" s="104"/>
      <c r="G11" s="104"/>
      <c r="H11" s="104"/>
      <c r="I11" s="104"/>
      <c r="J11" s="104"/>
      <c r="K11" s="104"/>
      <c r="L11" s="104"/>
      <c r="M11" s="104"/>
    </row>
    <row r="12" spans="1:13" x14ac:dyDescent="0.25">
      <c r="D12" s="104"/>
      <c r="E12" s="104"/>
      <c r="F12" s="104"/>
      <c r="G12" s="104"/>
      <c r="H12" s="104"/>
      <c r="I12" s="104"/>
      <c r="J12" s="104"/>
      <c r="K12" s="104"/>
      <c r="L12" s="104"/>
      <c r="M12" s="104"/>
    </row>
    <row r="13" spans="1:13" x14ac:dyDescent="0.25">
      <c r="D13" s="104"/>
      <c r="E13" s="104"/>
      <c r="F13" s="104"/>
      <c r="G13" s="104"/>
      <c r="H13" s="104"/>
      <c r="I13" s="104"/>
      <c r="J13" s="104"/>
      <c r="K13" s="104"/>
      <c r="L13" s="104"/>
      <c r="M13" s="104"/>
    </row>
    <row r="14" spans="1:13" x14ac:dyDescent="0.25">
      <c r="D14" s="104"/>
      <c r="E14" s="104"/>
      <c r="F14" s="104"/>
      <c r="G14" s="104"/>
      <c r="H14" s="104"/>
      <c r="I14" s="104"/>
      <c r="J14" s="104"/>
      <c r="K14" s="104"/>
      <c r="L14" s="104"/>
      <c r="M14" s="104"/>
    </row>
  </sheetData>
  <sheetProtection sheet="1" objects="1" scenarios="1"/>
  <mergeCells count="1">
    <mergeCell ref="A1:B1"/>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C267C-F5E6-48B1-BBE5-1A086BDC536D}">
  <sheetPr codeName="Sheet3"/>
  <dimension ref="A1:AK18"/>
  <sheetViews>
    <sheetView topLeftCell="A3" zoomScaleNormal="100" workbookViewId="0">
      <selection activeCell="A3" sqref="A3"/>
    </sheetView>
  </sheetViews>
  <sheetFormatPr defaultColWidth="8.7109375" defaultRowHeight="15.75" x14ac:dyDescent="0.25"/>
  <cols>
    <col min="1" max="1" width="33.5703125" style="90" bestFit="1" customWidth="1"/>
    <col min="2" max="2" width="16.85546875" style="90" hidden="1" customWidth="1"/>
    <col min="3" max="3" width="16.5703125" style="90" hidden="1" customWidth="1"/>
    <col min="4" max="4" width="16.42578125" style="90" hidden="1" customWidth="1"/>
    <col min="5" max="5" width="15.85546875" style="90" hidden="1" customWidth="1"/>
    <col min="6" max="6" width="17.140625" style="90" hidden="1" customWidth="1"/>
    <col min="7" max="8" width="15.42578125" style="90" hidden="1" customWidth="1"/>
    <col min="9" max="9" width="15.85546875" style="90" hidden="1" customWidth="1"/>
    <col min="10" max="10" width="16.85546875" style="90" hidden="1" customWidth="1"/>
    <col min="11" max="11" width="16.7109375" style="90" hidden="1" customWidth="1"/>
    <col min="12" max="12" width="21.42578125" style="90" hidden="1" customWidth="1"/>
    <col min="13" max="13" width="15.85546875" style="90" hidden="1" customWidth="1"/>
    <col min="14" max="14" width="16.5703125" style="90" hidden="1" customWidth="1"/>
    <col min="15" max="15" width="16.42578125" style="90" hidden="1" customWidth="1"/>
    <col min="16" max="16" width="16" style="90" hidden="1" customWidth="1"/>
    <col min="17" max="17" width="17.42578125" style="90" hidden="1" customWidth="1"/>
    <col min="18" max="18" width="15" style="90" hidden="1" customWidth="1"/>
    <col min="19" max="19" width="13.7109375" style="90" hidden="1" customWidth="1"/>
    <col min="20" max="20" width="15.140625" style="90" hidden="1" customWidth="1"/>
    <col min="21" max="22" width="14.140625" style="90" hidden="1" customWidth="1"/>
    <col min="23" max="23" width="19.42578125" style="90" hidden="1" customWidth="1"/>
    <col min="24" max="24" width="20.140625" style="90" hidden="1" customWidth="1"/>
    <col min="25" max="25" width="31.7109375" style="90" hidden="1" customWidth="1"/>
    <col min="26" max="26" width="30.85546875" style="90" hidden="1" customWidth="1"/>
    <col min="27" max="27" width="27" style="90" hidden="1" customWidth="1"/>
    <col min="28" max="28" width="17.5703125" style="90" hidden="1" customWidth="1"/>
    <col min="29" max="29" width="21.42578125" style="90" hidden="1" customWidth="1"/>
    <col min="30" max="30" width="21.85546875" style="90" hidden="1" customWidth="1"/>
    <col min="31" max="31" width="28.5703125" style="90" hidden="1" customWidth="1"/>
    <col min="32" max="32" width="23.5703125" style="90" hidden="1" customWidth="1"/>
    <col min="33" max="33" width="18.140625" style="90" hidden="1" customWidth="1"/>
    <col min="34" max="34" width="19.140625" style="90" hidden="1" customWidth="1"/>
    <col min="35" max="35" width="16.140625" style="90" hidden="1" customWidth="1"/>
    <col min="36" max="36" width="23.85546875" style="90" hidden="1" customWidth="1"/>
    <col min="37" max="37" width="17.140625" style="90" hidden="1" customWidth="1"/>
    <col min="38" max="16384" width="8.7109375" style="90"/>
  </cols>
  <sheetData>
    <row r="1" spans="1:37" hidden="1" x14ac:dyDescent="0.25"/>
    <row r="2" spans="1:37" hidden="1" x14ac:dyDescent="0.25">
      <c r="C2" s="90">
        <f>GETPIVOTDATA("Sum of E_POV150",$A$3)/GETPIVOTDATA("Sum of E_TOTPOP",$A$3)</f>
        <v>0.17488547906589358</v>
      </c>
      <c r="D2" s="90">
        <f>GETPIVOTDATA("Sum of E_UNEMP",$A$3)/GETPIVOTDATA("Sum of E_TOTPOP",$A$3)</f>
        <v>2.0573725854502355E-2</v>
      </c>
      <c r="E2" s="90">
        <f>GETPIVOTDATA("Sum of E_HBURD",$A$3)/GETPIVOTDATA("Sum of E_TOTPOP",$A$3)</f>
        <v>0.12306435595989365</v>
      </c>
      <c r="F2" s="90">
        <f>GETPIVOTDATA("Sum of E_NOHSDP",$A$3)/GETPIVOTDATA("Sum of E_TOTPOP",$A$3)</f>
        <v>4.6059839190184838E-2</v>
      </c>
      <c r="G2" s="90">
        <f>GETPIVOTDATA("Sum of E_AGE65",$A$3)/GETPIVOTDATA("Sum of E_TOTPOP",$A$3)</f>
        <v>0.19359964122112952</v>
      </c>
      <c r="H2" s="90">
        <f>GETPIVOTDATA("Sum of E_AGE17",$A$3)/GETPIVOTDATA("Sum of E_TOTPOP",$A$3)</f>
        <v>0.18520677835794599</v>
      </c>
      <c r="I2" s="90">
        <f>GETPIVOTDATA("Sum of E_DISABL",$A$3)/GETPIVOTDATA("Sum of E_TOTPOP",$A$3)</f>
        <v>0.14065893583624306</v>
      </c>
      <c r="J2" s="90">
        <f>GETPIVOTDATA("Sum of E_SNGPNT",$A$3)/GETPIVOTDATA("Sum of E_TOTPOP",$A$3)</f>
        <v>2.0464810840247302E-2</v>
      </c>
      <c r="K2" s="90">
        <f>GETPIVOTDATA("Sum of E_LIMENG",$A$3)/GETPIVOTDATA("Sum of E_TOTPOP",$A$3)</f>
        <v>5.7949194349232788E-3</v>
      </c>
      <c r="L2" s="90">
        <f>GETPIVOTDATA("Sum of # rural residents",$A$3)/GETPIVOTDATA("Sum of Population",$A$3)</f>
        <v>0.61339189889419532</v>
      </c>
      <c r="M2" s="90">
        <f>GETPIVOTDATA("Sum of E_MUNIT",$A$3)/GETPIVOTDATA("Sum of E_TOTPOP",$A$3)</f>
        <v>3.1614184578915336E-2</v>
      </c>
      <c r="N2" s="90">
        <f>GETPIVOTDATA("Sum of E_MOBILE",$A$3)/GETPIVOTDATA("Sum of E_TOTPOP",$A$3)</f>
        <v>3.463497453310696E-2</v>
      </c>
      <c r="O2" s="90">
        <f>GETPIVOTDATA("Sum of E_CROWD",$A$3)/GETPIVOTDATA("Sum of E_TOTPOP",$A$3)</f>
        <v>6.6470192523304609E-3</v>
      </c>
      <c r="P2" s="90">
        <f>GETPIVOTDATA("Sum of E_NOVEH",$A$3)/GETPIVOTDATA("Sum of E_TOTPOP",$A$3)</f>
        <v>2.8253836050869719E-2</v>
      </c>
      <c r="Q2" s="90">
        <f>GETPIVOTDATA("Sum of E_GROUPQ",$A$3)/GETPIVOTDATA("Sum of E_TOTPOP",$A$3)</f>
        <v>4.0804689752378512E-2</v>
      </c>
      <c r="R2" s="90">
        <f>GETPIVOTDATA("Sum of E_AFAM",$A$3)/GETPIVOTDATA("Sum of E_TOTPOP",$A$3)</f>
        <v>1.2006278630233527E-2</v>
      </c>
      <c r="S2" s="90">
        <f>GETPIVOTDATA("Sum of E_HISP",$A$3)/GETPIVOTDATA("Sum of E_TOTPOP",$A$3)</f>
        <v>2.0049972771246437E-2</v>
      </c>
      <c r="T2" s="90">
        <f>GETPIVOTDATA("Sum of E_ASIAN",$A$3)/GETPIVOTDATA("Sum of E_TOTPOP",$A$3)</f>
        <v>1.608418489925361E-2</v>
      </c>
      <c r="U2" s="90">
        <f>GETPIVOTDATA("Sum of E_AIAN",$A$3)/GETPIVOTDATA("Sum of E_TOTPOP",$A$3)</f>
        <v>2.4634013518275298E-3</v>
      </c>
      <c r="V2" s="90">
        <f>GETPIVOTDATA("Sum of E_NHPI",$A$3)/GETPIVOTDATA("Sum of E_TOTPOP",$A$3)</f>
        <v>3.075247461319153E-4</v>
      </c>
      <c r="W2" s="90">
        <f>GETPIVOTDATA("Sum of E_TWOMORE",$A$3)/GETPIVOTDATA("Sum of E_TOTPOP",$A$3)</f>
        <v>2.3994938655219913E-2</v>
      </c>
      <c r="X2" s="90">
        <f>GETPIVOTDATA("Sum of E_OTHERRACE",$A$3)/GETPIVOTDATA("Sum of E_TOTPOP",$A$3)</f>
        <v>1.5568440272928212E-3</v>
      </c>
      <c r="Y2" s="90">
        <f>GETPIVOTDATA("Sum of # Frequent Physical Distress",$A$3)/GETPIVOTDATA("Sum of Population",$A$3)</f>
        <v>0.11107938275150117</v>
      </c>
      <c r="Z2" s="90">
        <f>GETPIVOTDATA("Sum of # Frequent Mental Distress",$A$3)/GETPIVOTDATA("Sum of Population",$A$3)</f>
        <v>0.14053809515406346</v>
      </c>
      <c r="AA2" s="90">
        <f>GETPIVOTDATA("Sum of # Adults with Diabetes",$A$3)/GETPIVOTDATA("Sum of Population",$A$3)</f>
        <v>7.1231593318007463E-2</v>
      </c>
      <c r="AB2" s="90">
        <f>GETPIVOTDATA("Sum of # HIV Cases",$A$3)/GETPIVOTDATA("Sum of Population",$A$3)</f>
        <v>2.5026189265369049E-4</v>
      </c>
      <c r="AC2" s="90">
        <f>GETPIVOTDATA("Sum of # Food Insecure",$A$3)/GETPIVOTDATA("Sum of Population",$A$3)</f>
        <v>0.10352179444194004</v>
      </c>
      <c r="AD2" s="90">
        <f>GETPIVOTDATA("Sum of # Limited Access",$A$3)/GETPIVOTDATA("Sum of Population",$A$3)</f>
        <v>2.9855678261910299E-2</v>
      </c>
      <c r="AE2" s="90">
        <f>GETPIVOTDATA("Sum of # Drug Overdose Deaths",$A$3)/GETPIVOTDATA("Sum of Population",$A$3)</f>
        <v>7.5238992086269763E-4</v>
      </c>
      <c r="AF2" s="90">
        <f>GETPIVOTDATA("Sum of # Insuficient Sleep",$A$3)/GETPIVOTDATA("Sum of Population",$A$3)</f>
        <v>0.31374820124264657</v>
      </c>
      <c r="AG2" s="90">
        <f>GETPIVOTDATA("Sum of # Uninsured",$A$3)/GETPIVOTDATA("Sum of Population",$A$3)</f>
        <v>4.034670897589946E-2</v>
      </c>
      <c r="AH2" s="90">
        <f>GETPIVOTDATA("Sum of # Uninsured2",$A$3)/GETPIVOTDATA("Sum of Population",$A$3)</f>
        <v>3.526125897774434E-3</v>
      </c>
      <c r="AI2" s="90">
        <f>GETPIVOTDATA("Sum of # Deaths4",$A$3)/GETPIVOTDATA("Sum of Population",$A$3)</f>
        <v>9.0479299651718861E-4</v>
      </c>
      <c r="AJ2" s="90">
        <f>GETPIVOTDATA("Sum of # Firearm Fatalities",$A$3)/GETPIVOTDATA("Sum of Population",$A$3)</f>
        <v>5.7913168748706574E-4</v>
      </c>
    </row>
    <row r="3" spans="1:37" x14ac:dyDescent="0.25">
      <c r="A3" s="91" t="s">
        <v>602</v>
      </c>
      <c r="B3" s="90" t="s">
        <v>565</v>
      </c>
      <c r="C3" s="90" t="s">
        <v>566</v>
      </c>
      <c r="D3" s="90" t="s">
        <v>567</v>
      </c>
      <c r="E3" s="90" t="s">
        <v>568</v>
      </c>
      <c r="F3" s="90" t="s">
        <v>569</v>
      </c>
      <c r="G3" s="90" t="s">
        <v>570</v>
      </c>
      <c r="H3" s="90" t="s">
        <v>571</v>
      </c>
      <c r="I3" s="90" t="s">
        <v>572</v>
      </c>
      <c r="J3" s="90" t="s">
        <v>573</v>
      </c>
      <c r="K3" s="90" t="s">
        <v>574</v>
      </c>
      <c r="L3" s="90" t="s">
        <v>599</v>
      </c>
      <c r="M3" s="90" t="s">
        <v>575</v>
      </c>
      <c r="N3" s="90" t="s">
        <v>576</v>
      </c>
      <c r="O3" s="90" t="s">
        <v>577</v>
      </c>
      <c r="P3" s="90" t="s">
        <v>578</v>
      </c>
      <c r="Q3" s="90" t="s">
        <v>579</v>
      </c>
      <c r="R3" s="90" t="s">
        <v>580</v>
      </c>
      <c r="S3" s="90" t="s">
        <v>581</v>
      </c>
      <c r="T3" s="90" t="s">
        <v>582</v>
      </c>
      <c r="U3" s="90" t="s">
        <v>583</v>
      </c>
      <c r="V3" s="90" t="s">
        <v>584</v>
      </c>
      <c r="W3" s="90" t="s">
        <v>585</v>
      </c>
      <c r="X3" s="90" t="s">
        <v>586</v>
      </c>
      <c r="Y3" s="90" t="s">
        <v>587</v>
      </c>
      <c r="Z3" s="90" t="s">
        <v>588</v>
      </c>
      <c r="AA3" s="90" t="s">
        <v>601</v>
      </c>
      <c r="AB3" s="90" t="s">
        <v>589</v>
      </c>
      <c r="AC3" s="90" t="s">
        <v>590</v>
      </c>
      <c r="AD3" s="90" t="s">
        <v>591</v>
      </c>
      <c r="AE3" s="90" t="s">
        <v>592</v>
      </c>
      <c r="AF3" s="90" t="s">
        <v>593</v>
      </c>
      <c r="AG3" s="90" t="s">
        <v>594</v>
      </c>
      <c r="AH3" s="90" t="s">
        <v>595</v>
      </c>
      <c r="AI3" s="90" t="s">
        <v>596</v>
      </c>
      <c r="AJ3" s="90" t="s">
        <v>597</v>
      </c>
      <c r="AK3" s="90" t="s">
        <v>598</v>
      </c>
    </row>
    <row r="4" spans="1:37" x14ac:dyDescent="0.25">
      <c r="A4" s="92" t="s">
        <v>503</v>
      </c>
      <c r="B4" s="90">
        <v>36947</v>
      </c>
      <c r="C4" s="90">
        <v>4530</v>
      </c>
      <c r="D4" s="90">
        <v>809</v>
      </c>
      <c r="E4" s="90">
        <v>3824</v>
      </c>
      <c r="F4" s="90">
        <v>1484</v>
      </c>
      <c r="G4" s="90">
        <v>7409</v>
      </c>
      <c r="H4" s="90">
        <v>6161</v>
      </c>
      <c r="I4" s="90">
        <v>5681</v>
      </c>
      <c r="J4" s="90">
        <v>482</v>
      </c>
      <c r="K4" s="90">
        <v>112</v>
      </c>
      <c r="L4" s="90">
        <v>28879</v>
      </c>
      <c r="M4" s="90">
        <v>419</v>
      </c>
      <c r="N4" s="90">
        <v>1355</v>
      </c>
      <c r="O4" s="90">
        <v>188</v>
      </c>
      <c r="P4" s="90">
        <v>730</v>
      </c>
      <c r="Q4" s="90">
        <v>3138</v>
      </c>
      <c r="R4" s="90">
        <v>371</v>
      </c>
      <c r="S4" s="90">
        <v>885</v>
      </c>
      <c r="T4" s="90">
        <v>719</v>
      </c>
      <c r="U4" s="90">
        <v>105</v>
      </c>
      <c r="V4" s="90">
        <v>18</v>
      </c>
      <c r="W4" s="90">
        <v>716</v>
      </c>
      <c r="X4" s="90">
        <v>34</v>
      </c>
      <c r="Y4" s="90">
        <v>3759</v>
      </c>
      <c r="Z4" s="90">
        <v>4827</v>
      </c>
      <c r="AA4" s="90">
        <v>2469</v>
      </c>
      <c r="AB4" s="90">
        <v>9</v>
      </c>
      <c r="AC4" s="90">
        <v>3230</v>
      </c>
      <c r="AD4" s="90">
        <v>557.72568027</v>
      </c>
      <c r="AE4" s="90">
        <v>11</v>
      </c>
      <c r="AF4" s="90">
        <v>11050</v>
      </c>
      <c r="AG4" s="90">
        <v>1545</v>
      </c>
      <c r="AH4" s="90">
        <v>121</v>
      </c>
      <c r="AI4" s="90">
        <v>22</v>
      </c>
      <c r="AJ4" s="90">
        <v>14</v>
      </c>
      <c r="AK4" s="90">
        <v>36851</v>
      </c>
    </row>
    <row r="5" spans="1:37" x14ac:dyDescent="0.25">
      <c r="A5" s="92" t="s">
        <v>506</v>
      </c>
      <c r="B5" s="90">
        <v>35649</v>
      </c>
      <c r="C5" s="90">
        <v>6731</v>
      </c>
      <c r="D5" s="90">
        <v>734</v>
      </c>
      <c r="E5" s="90">
        <v>4310</v>
      </c>
      <c r="F5" s="90">
        <v>1880</v>
      </c>
      <c r="G5" s="90">
        <v>8069</v>
      </c>
      <c r="H5" s="90">
        <v>6723</v>
      </c>
      <c r="I5" s="90">
        <v>6105</v>
      </c>
      <c r="J5" s="90">
        <v>824</v>
      </c>
      <c r="K5" s="90">
        <v>19</v>
      </c>
      <c r="L5" s="90">
        <v>23950</v>
      </c>
      <c r="M5" s="90">
        <v>869</v>
      </c>
      <c r="N5" s="90">
        <v>1113</v>
      </c>
      <c r="O5" s="90">
        <v>140</v>
      </c>
      <c r="P5" s="90">
        <v>1343</v>
      </c>
      <c r="Q5" s="90">
        <v>1459</v>
      </c>
      <c r="R5" s="90">
        <v>272</v>
      </c>
      <c r="S5" s="90">
        <v>753</v>
      </c>
      <c r="T5" s="90">
        <v>321</v>
      </c>
      <c r="U5" s="90">
        <v>107</v>
      </c>
      <c r="V5" s="90">
        <v>46</v>
      </c>
      <c r="W5" s="90">
        <v>715</v>
      </c>
      <c r="X5" s="90">
        <v>42</v>
      </c>
      <c r="Y5" s="90">
        <v>4170</v>
      </c>
      <c r="Z5" s="90">
        <v>5301</v>
      </c>
      <c r="AA5" s="90">
        <v>2615</v>
      </c>
      <c r="AB5" s="90">
        <v>10</v>
      </c>
      <c r="AC5" s="90">
        <v>4090</v>
      </c>
      <c r="AD5" s="90">
        <v>1033.9918422000001</v>
      </c>
      <c r="AE5" s="90">
        <v>35</v>
      </c>
      <c r="AF5" s="90">
        <v>12135</v>
      </c>
      <c r="AG5" s="90">
        <v>1470</v>
      </c>
      <c r="AH5" s="90">
        <v>143</v>
      </c>
      <c r="AI5" s="90">
        <v>37</v>
      </c>
      <c r="AJ5" s="90">
        <v>25</v>
      </c>
      <c r="AK5" s="90">
        <v>35338</v>
      </c>
    </row>
    <row r="6" spans="1:37" x14ac:dyDescent="0.25">
      <c r="A6" s="92" t="s">
        <v>509</v>
      </c>
      <c r="B6" s="90">
        <v>30027</v>
      </c>
      <c r="C6" s="90">
        <v>6137</v>
      </c>
      <c r="D6" s="90">
        <v>480</v>
      </c>
      <c r="E6" s="90">
        <v>3729</v>
      </c>
      <c r="F6" s="90">
        <v>1548</v>
      </c>
      <c r="G6" s="90">
        <v>6265</v>
      </c>
      <c r="H6" s="90">
        <v>5791</v>
      </c>
      <c r="I6" s="90">
        <v>5024</v>
      </c>
      <c r="J6" s="90">
        <v>681</v>
      </c>
      <c r="K6" s="90">
        <v>90</v>
      </c>
      <c r="L6" s="90">
        <v>23230</v>
      </c>
      <c r="M6" s="90">
        <v>497</v>
      </c>
      <c r="N6" s="90">
        <v>1444</v>
      </c>
      <c r="O6" s="90">
        <v>211</v>
      </c>
      <c r="P6" s="90">
        <v>1084</v>
      </c>
      <c r="Q6" s="90">
        <v>1114</v>
      </c>
      <c r="R6" s="90">
        <v>182</v>
      </c>
      <c r="S6" s="90">
        <v>517</v>
      </c>
      <c r="T6" s="90">
        <v>104</v>
      </c>
      <c r="U6" s="90">
        <v>50</v>
      </c>
      <c r="V6" s="90">
        <v>0</v>
      </c>
      <c r="W6" s="90">
        <v>755</v>
      </c>
      <c r="X6" s="90">
        <v>151</v>
      </c>
      <c r="Y6" s="90">
        <v>3683</v>
      </c>
      <c r="Z6" s="90">
        <v>4396</v>
      </c>
      <c r="AA6" s="90">
        <v>2376</v>
      </c>
      <c r="AB6" s="90">
        <v>13</v>
      </c>
      <c r="AC6" s="90">
        <v>3520</v>
      </c>
      <c r="AD6" s="90">
        <v>521.87594111999999</v>
      </c>
      <c r="AE6" s="90">
        <v>30</v>
      </c>
      <c r="AF6" s="90">
        <v>9262</v>
      </c>
      <c r="AG6" s="90">
        <v>1223</v>
      </c>
      <c r="AH6" s="90">
        <v>108</v>
      </c>
      <c r="AI6" s="90">
        <v>46</v>
      </c>
      <c r="AJ6" s="90">
        <v>28</v>
      </c>
      <c r="AK6" s="90">
        <v>29705</v>
      </c>
    </row>
    <row r="7" spans="1:37" x14ac:dyDescent="0.25">
      <c r="A7" s="92" t="s">
        <v>512</v>
      </c>
      <c r="B7" s="90">
        <v>163414</v>
      </c>
      <c r="C7" s="90">
        <v>26625</v>
      </c>
      <c r="D7" s="90">
        <v>3435</v>
      </c>
      <c r="E7" s="90">
        <v>20346</v>
      </c>
      <c r="F7" s="90">
        <v>5626</v>
      </c>
      <c r="G7" s="90">
        <v>24654</v>
      </c>
      <c r="H7" s="90">
        <v>29054</v>
      </c>
      <c r="I7" s="90">
        <v>18580</v>
      </c>
      <c r="J7" s="90">
        <v>2929</v>
      </c>
      <c r="K7" s="90">
        <v>2555</v>
      </c>
      <c r="L7" s="90">
        <v>40680</v>
      </c>
      <c r="M7" s="90">
        <v>9195</v>
      </c>
      <c r="N7" s="90">
        <v>3084</v>
      </c>
      <c r="O7" s="90">
        <v>813</v>
      </c>
      <c r="P7" s="90">
        <v>4802</v>
      </c>
      <c r="Q7" s="90">
        <v>9840</v>
      </c>
      <c r="R7" s="90">
        <v>4157</v>
      </c>
      <c r="S7" s="90">
        <v>3956</v>
      </c>
      <c r="T7" s="90">
        <v>6160</v>
      </c>
      <c r="U7" s="90">
        <v>255</v>
      </c>
      <c r="V7" s="90">
        <v>44</v>
      </c>
      <c r="W7" s="90">
        <v>4741</v>
      </c>
      <c r="X7" s="90">
        <v>337</v>
      </c>
      <c r="Y7" s="90">
        <v>16924</v>
      </c>
      <c r="Z7" s="90">
        <v>21360</v>
      </c>
      <c r="AA7" s="90">
        <v>10844</v>
      </c>
      <c r="AB7" s="90">
        <v>43</v>
      </c>
      <c r="AC7" s="90">
        <v>15850</v>
      </c>
      <c r="AD7" s="90">
        <v>3910.6405337000001</v>
      </c>
      <c r="AE7" s="90">
        <v>76</v>
      </c>
      <c r="AF7" s="90">
        <v>48442</v>
      </c>
      <c r="AG7" s="90">
        <v>5943</v>
      </c>
      <c r="AH7" s="90">
        <v>518</v>
      </c>
      <c r="AI7" s="90">
        <v>104</v>
      </c>
      <c r="AJ7" s="90">
        <v>55</v>
      </c>
      <c r="AK7" s="90">
        <v>164306</v>
      </c>
    </row>
    <row r="8" spans="1:37" x14ac:dyDescent="0.25">
      <c r="A8" s="92" t="s">
        <v>515</v>
      </c>
      <c r="B8" s="90">
        <v>6179</v>
      </c>
      <c r="C8" s="90">
        <v>1526</v>
      </c>
      <c r="D8" s="90">
        <v>153</v>
      </c>
      <c r="E8" s="90">
        <v>860</v>
      </c>
      <c r="F8" s="90">
        <v>552</v>
      </c>
      <c r="G8" s="90">
        <v>1618</v>
      </c>
      <c r="H8" s="90">
        <v>1067</v>
      </c>
      <c r="I8" s="90">
        <v>1257</v>
      </c>
      <c r="J8" s="90">
        <v>166</v>
      </c>
      <c r="K8" s="90">
        <v>7</v>
      </c>
      <c r="L8" s="90">
        <v>6306</v>
      </c>
      <c r="M8" s="90">
        <v>17</v>
      </c>
      <c r="N8" s="90">
        <v>516</v>
      </c>
      <c r="O8" s="90">
        <v>73</v>
      </c>
      <c r="P8" s="90">
        <v>130</v>
      </c>
      <c r="Q8" s="90">
        <v>25</v>
      </c>
      <c r="R8" s="90">
        <v>46</v>
      </c>
      <c r="S8" s="90">
        <v>86</v>
      </c>
      <c r="T8" s="90">
        <v>27</v>
      </c>
      <c r="U8" s="90">
        <v>4</v>
      </c>
      <c r="V8" s="90">
        <v>0</v>
      </c>
      <c r="W8" s="90">
        <v>143</v>
      </c>
      <c r="X8" s="90">
        <v>4</v>
      </c>
      <c r="Y8" s="90">
        <v>827</v>
      </c>
      <c r="Z8" s="90">
        <v>1016</v>
      </c>
      <c r="AA8" s="90">
        <v>520</v>
      </c>
      <c r="AC8" s="90">
        <v>760</v>
      </c>
      <c r="AD8" s="90">
        <v>632.15344518999996</v>
      </c>
      <c r="AF8" s="90">
        <v>2168</v>
      </c>
      <c r="AG8" s="90">
        <v>268</v>
      </c>
      <c r="AH8" s="90">
        <v>22</v>
      </c>
      <c r="AK8" s="90">
        <v>6123</v>
      </c>
    </row>
    <row r="9" spans="1:37" x14ac:dyDescent="0.25">
      <c r="A9" s="92" t="s">
        <v>519</v>
      </c>
      <c r="B9" s="90">
        <v>49275</v>
      </c>
      <c r="C9" s="90">
        <v>7944</v>
      </c>
      <c r="D9" s="90">
        <v>1163</v>
      </c>
      <c r="E9" s="90">
        <v>5665</v>
      </c>
      <c r="F9" s="90">
        <v>3086</v>
      </c>
      <c r="G9" s="90">
        <v>7965</v>
      </c>
      <c r="H9" s="90">
        <v>10948</v>
      </c>
      <c r="I9" s="90">
        <v>6295</v>
      </c>
      <c r="J9" s="90">
        <v>947</v>
      </c>
      <c r="K9" s="90">
        <v>153</v>
      </c>
      <c r="L9" s="90">
        <v>34241</v>
      </c>
      <c r="M9" s="90">
        <v>857</v>
      </c>
      <c r="N9" s="90">
        <v>1552</v>
      </c>
      <c r="O9" s="90">
        <v>256</v>
      </c>
      <c r="P9" s="90">
        <v>1070</v>
      </c>
      <c r="Q9" s="90">
        <v>409</v>
      </c>
      <c r="R9" s="90">
        <v>188</v>
      </c>
      <c r="S9" s="90">
        <v>818</v>
      </c>
      <c r="T9" s="90">
        <v>363</v>
      </c>
      <c r="U9" s="90">
        <v>202</v>
      </c>
      <c r="V9" s="90">
        <v>0</v>
      </c>
      <c r="W9" s="90">
        <v>1521</v>
      </c>
      <c r="X9" s="90">
        <v>21</v>
      </c>
      <c r="Y9" s="90">
        <v>5863</v>
      </c>
      <c r="Z9" s="90">
        <v>7254</v>
      </c>
      <c r="AA9" s="90">
        <v>3627</v>
      </c>
      <c r="AB9" s="90">
        <v>8</v>
      </c>
      <c r="AC9" s="90">
        <v>4550</v>
      </c>
      <c r="AD9" s="90">
        <v>897.68335604000004</v>
      </c>
      <c r="AE9" s="90">
        <v>28</v>
      </c>
      <c r="AF9" s="90">
        <v>17061</v>
      </c>
      <c r="AG9" s="90">
        <v>2045</v>
      </c>
      <c r="AH9" s="90">
        <v>172</v>
      </c>
      <c r="AI9" s="90">
        <v>49</v>
      </c>
      <c r="AJ9" s="90">
        <v>29</v>
      </c>
      <c r="AK9" s="90">
        <v>49685</v>
      </c>
    </row>
    <row r="10" spans="1:37" x14ac:dyDescent="0.25">
      <c r="A10" s="92" t="s">
        <v>522</v>
      </c>
      <c r="B10" s="90">
        <v>7075</v>
      </c>
      <c r="C10" s="90">
        <v>831</v>
      </c>
      <c r="D10" s="90">
        <v>171</v>
      </c>
      <c r="E10" s="90">
        <v>787</v>
      </c>
      <c r="F10" s="90">
        <v>327</v>
      </c>
      <c r="G10" s="90">
        <v>1464</v>
      </c>
      <c r="H10" s="90">
        <v>1218</v>
      </c>
      <c r="I10" s="90">
        <v>789</v>
      </c>
      <c r="J10" s="90">
        <v>91</v>
      </c>
      <c r="K10" s="90">
        <v>12</v>
      </c>
      <c r="L10" s="90">
        <v>6970</v>
      </c>
      <c r="M10" s="90">
        <v>15</v>
      </c>
      <c r="N10" s="90">
        <v>524</v>
      </c>
      <c r="O10" s="90">
        <v>5</v>
      </c>
      <c r="P10" s="90">
        <v>65</v>
      </c>
      <c r="Q10" s="90">
        <v>0</v>
      </c>
      <c r="R10" s="90">
        <v>63</v>
      </c>
      <c r="S10" s="90">
        <v>144</v>
      </c>
      <c r="T10" s="90">
        <v>38</v>
      </c>
      <c r="U10" s="90">
        <v>102</v>
      </c>
      <c r="V10" s="90">
        <v>0</v>
      </c>
      <c r="W10" s="90">
        <v>208</v>
      </c>
      <c r="X10" s="90">
        <v>3</v>
      </c>
      <c r="Y10" s="90">
        <v>738</v>
      </c>
      <c r="Z10" s="90">
        <v>939</v>
      </c>
      <c r="AA10" s="90">
        <v>487</v>
      </c>
      <c r="AC10" s="90">
        <v>550</v>
      </c>
      <c r="AD10" s="90">
        <v>31.002810619000002</v>
      </c>
      <c r="AF10" s="90">
        <v>2219</v>
      </c>
      <c r="AG10" s="90">
        <v>277</v>
      </c>
      <c r="AH10" s="90">
        <v>27</v>
      </c>
      <c r="AK10" s="90">
        <v>7169</v>
      </c>
    </row>
    <row r="11" spans="1:37" x14ac:dyDescent="0.25">
      <c r="A11" s="92" t="s">
        <v>525</v>
      </c>
      <c r="B11" s="90">
        <v>25376</v>
      </c>
      <c r="C11" s="90">
        <v>4704</v>
      </c>
      <c r="D11" s="90">
        <v>530</v>
      </c>
      <c r="E11" s="90">
        <v>2857</v>
      </c>
      <c r="F11" s="90">
        <v>1336</v>
      </c>
      <c r="G11" s="90">
        <v>4347</v>
      </c>
      <c r="H11" s="90">
        <v>5175</v>
      </c>
      <c r="I11" s="90">
        <v>3405</v>
      </c>
      <c r="J11" s="90">
        <v>557</v>
      </c>
      <c r="K11" s="90">
        <v>76</v>
      </c>
      <c r="L11" s="90">
        <v>24475</v>
      </c>
      <c r="M11" s="90">
        <v>236</v>
      </c>
      <c r="N11" s="90">
        <v>1164</v>
      </c>
      <c r="O11" s="90">
        <v>182</v>
      </c>
      <c r="P11" s="90">
        <v>632</v>
      </c>
      <c r="Q11" s="90">
        <v>647</v>
      </c>
      <c r="R11" s="90">
        <v>230</v>
      </c>
      <c r="S11" s="90">
        <v>481</v>
      </c>
      <c r="T11" s="90">
        <v>66</v>
      </c>
      <c r="U11" s="90">
        <v>155</v>
      </c>
      <c r="V11" s="90">
        <v>0</v>
      </c>
      <c r="W11" s="90">
        <v>530</v>
      </c>
      <c r="X11" s="90">
        <v>2</v>
      </c>
      <c r="Y11" s="90">
        <v>2838</v>
      </c>
      <c r="Z11" s="90">
        <v>3573</v>
      </c>
      <c r="AA11" s="90">
        <v>1799</v>
      </c>
      <c r="AC11" s="90">
        <v>2700</v>
      </c>
      <c r="AD11" s="90">
        <v>70.824184738</v>
      </c>
      <c r="AE11" s="90">
        <v>13</v>
      </c>
      <c r="AF11" s="90">
        <v>8144</v>
      </c>
      <c r="AG11" s="90">
        <v>1267</v>
      </c>
      <c r="AH11" s="90">
        <v>136</v>
      </c>
      <c r="AI11" s="90">
        <v>22</v>
      </c>
      <c r="AJ11" s="90">
        <v>14</v>
      </c>
      <c r="AK11" s="90">
        <v>25341</v>
      </c>
    </row>
    <row r="12" spans="1:37" x14ac:dyDescent="0.25">
      <c r="A12" s="92" t="s">
        <v>528</v>
      </c>
      <c r="B12" s="90">
        <v>28873</v>
      </c>
      <c r="C12" s="90">
        <v>5126</v>
      </c>
      <c r="D12" s="90">
        <v>609</v>
      </c>
      <c r="E12" s="90">
        <v>3501</v>
      </c>
      <c r="F12" s="90">
        <v>1557</v>
      </c>
      <c r="G12" s="90">
        <v>6085</v>
      </c>
      <c r="H12" s="90">
        <v>5313</v>
      </c>
      <c r="I12" s="90">
        <v>4400</v>
      </c>
      <c r="J12" s="90">
        <v>548</v>
      </c>
      <c r="K12" s="90">
        <v>25</v>
      </c>
      <c r="L12" s="90">
        <v>28137</v>
      </c>
      <c r="M12" s="90">
        <v>189</v>
      </c>
      <c r="N12" s="90">
        <v>1576</v>
      </c>
      <c r="O12" s="90">
        <v>291</v>
      </c>
      <c r="P12" s="90">
        <v>514</v>
      </c>
      <c r="Q12" s="90">
        <v>659</v>
      </c>
      <c r="R12" s="90">
        <v>121</v>
      </c>
      <c r="S12" s="90">
        <v>398</v>
      </c>
      <c r="T12" s="90">
        <v>102</v>
      </c>
      <c r="U12" s="90">
        <v>79</v>
      </c>
      <c r="V12" s="90">
        <v>23</v>
      </c>
      <c r="W12" s="90">
        <v>593</v>
      </c>
      <c r="X12" s="90">
        <v>61</v>
      </c>
      <c r="Y12" s="90">
        <v>3316</v>
      </c>
      <c r="Z12" s="90">
        <v>4210</v>
      </c>
      <c r="AA12" s="90">
        <v>2134</v>
      </c>
      <c r="AB12" s="90">
        <v>5</v>
      </c>
      <c r="AC12" s="90">
        <v>2900</v>
      </c>
      <c r="AD12" s="90">
        <v>1004.3149991</v>
      </c>
      <c r="AE12" s="90">
        <v>15</v>
      </c>
      <c r="AF12" s="90">
        <v>9656</v>
      </c>
      <c r="AG12" s="90">
        <v>1271</v>
      </c>
      <c r="AH12" s="90">
        <v>111</v>
      </c>
      <c r="AI12" s="90">
        <v>33</v>
      </c>
      <c r="AJ12" s="90">
        <v>28</v>
      </c>
      <c r="AK12" s="90">
        <v>28837</v>
      </c>
    </row>
    <row r="13" spans="1:37" x14ac:dyDescent="0.25">
      <c r="A13" s="92" t="s">
        <v>531</v>
      </c>
      <c r="B13" s="90">
        <v>26843</v>
      </c>
      <c r="C13" s="90">
        <v>5755</v>
      </c>
      <c r="D13" s="90">
        <v>572</v>
      </c>
      <c r="E13" s="90">
        <v>3480</v>
      </c>
      <c r="F13" s="90">
        <v>2069</v>
      </c>
      <c r="G13" s="90">
        <v>6132</v>
      </c>
      <c r="H13" s="90">
        <v>5281</v>
      </c>
      <c r="I13" s="90">
        <v>4363</v>
      </c>
      <c r="J13" s="90">
        <v>533</v>
      </c>
      <c r="K13" s="90">
        <v>61</v>
      </c>
      <c r="L13" s="90">
        <v>23227</v>
      </c>
      <c r="M13" s="90">
        <v>275</v>
      </c>
      <c r="N13" s="90">
        <v>1648</v>
      </c>
      <c r="O13" s="90">
        <v>185</v>
      </c>
      <c r="P13" s="90">
        <v>771</v>
      </c>
      <c r="Q13" s="90">
        <v>949</v>
      </c>
      <c r="R13" s="90">
        <v>197</v>
      </c>
      <c r="S13" s="90">
        <v>407</v>
      </c>
      <c r="T13" s="90">
        <v>51</v>
      </c>
      <c r="U13" s="90">
        <v>143</v>
      </c>
      <c r="V13" s="90">
        <v>7</v>
      </c>
      <c r="W13" s="90">
        <v>582</v>
      </c>
      <c r="X13" s="90">
        <v>21</v>
      </c>
      <c r="Y13" s="90">
        <v>3416</v>
      </c>
      <c r="Z13" s="90">
        <v>4196</v>
      </c>
      <c r="AA13" s="90">
        <v>2367</v>
      </c>
      <c r="AB13" s="90">
        <v>8</v>
      </c>
      <c r="AC13" s="90">
        <v>3330</v>
      </c>
      <c r="AD13" s="90">
        <v>1089.2829068999999</v>
      </c>
      <c r="AE13" s="90">
        <v>17</v>
      </c>
      <c r="AF13" s="90">
        <v>9719</v>
      </c>
      <c r="AG13" s="90">
        <v>1225</v>
      </c>
      <c r="AH13" s="90">
        <v>122</v>
      </c>
      <c r="AI13" s="90">
        <v>25</v>
      </c>
      <c r="AJ13" s="90">
        <v>21</v>
      </c>
      <c r="AK13" s="90">
        <v>26897</v>
      </c>
    </row>
    <row r="14" spans="1:37" x14ac:dyDescent="0.25">
      <c r="A14" s="92" t="s">
        <v>534</v>
      </c>
      <c r="B14" s="90">
        <v>58527</v>
      </c>
      <c r="C14" s="90">
        <v>10349</v>
      </c>
      <c r="D14" s="90">
        <v>1065</v>
      </c>
      <c r="E14" s="90">
        <v>7720</v>
      </c>
      <c r="F14" s="90">
        <v>2683</v>
      </c>
      <c r="G14" s="90">
        <v>12893</v>
      </c>
      <c r="H14" s="90">
        <v>10351</v>
      </c>
      <c r="I14" s="90">
        <v>8953</v>
      </c>
      <c r="J14" s="90">
        <v>1072</v>
      </c>
      <c r="K14" s="90">
        <v>131</v>
      </c>
      <c r="L14" s="90">
        <v>37610</v>
      </c>
      <c r="M14" s="90">
        <v>2540</v>
      </c>
      <c r="N14" s="90">
        <v>2015</v>
      </c>
      <c r="O14" s="90">
        <v>1067</v>
      </c>
      <c r="P14" s="90">
        <v>1922</v>
      </c>
      <c r="Q14" s="90">
        <v>2206</v>
      </c>
      <c r="R14" s="90">
        <v>397</v>
      </c>
      <c r="S14" s="90">
        <v>903</v>
      </c>
      <c r="T14" s="90">
        <v>491</v>
      </c>
      <c r="U14" s="90">
        <v>68</v>
      </c>
      <c r="V14" s="90">
        <v>0</v>
      </c>
      <c r="W14" s="90">
        <v>1203</v>
      </c>
      <c r="X14" s="90">
        <v>33</v>
      </c>
      <c r="Y14" s="90">
        <v>6527</v>
      </c>
      <c r="Z14" s="90">
        <v>8780</v>
      </c>
      <c r="AA14" s="90">
        <v>4275</v>
      </c>
      <c r="AB14" s="90">
        <v>16</v>
      </c>
      <c r="AC14" s="90">
        <v>6330</v>
      </c>
      <c r="AD14" s="90">
        <v>3029.5257517999999</v>
      </c>
      <c r="AE14" s="90">
        <v>61</v>
      </c>
      <c r="AF14" s="90">
        <v>18455</v>
      </c>
      <c r="AG14" s="90">
        <v>2232</v>
      </c>
      <c r="AH14" s="90">
        <v>167</v>
      </c>
      <c r="AI14" s="90">
        <v>64</v>
      </c>
      <c r="AJ14" s="90">
        <v>46</v>
      </c>
      <c r="AK14" s="90">
        <v>57764</v>
      </c>
    </row>
    <row r="15" spans="1:37" x14ac:dyDescent="0.25">
      <c r="A15" s="92" t="s">
        <v>537</v>
      </c>
      <c r="B15" s="90">
        <v>58336</v>
      </c>
      <c r="C15" s="90">
        <v>10177</v>
      </c>
      <c r="D15" s="90">
        <v>1029</v>
      </c>
      <c r="E15" s="90">
        <v>6700</v>
      </c>
      <c r="F15" s="90">
        <v>2414</v>
      </c>
      <c r="G15" s="90">
        <v>11406</v>
      </c>
      <c r="H15" s="90">
        <v>10926</v>
      </c>
      <c r="I15" s="90">
        <v>7602</v>
      </c>
      <c r="J15" s="90">
        <v>1776</v>
      </c>
      <c r="K15" s="90">
        <v>108</v>
      </c>
      <c r="L15" s="90">
        <v>31437</v>
      </c>
      <c r="M15" s="90">
        <v>1675</v>
      </c>
      <c r="N15" s="90">
        <v>1675</v>
      </c>
      <c r="O15" s="90">
        <v>211</v>
      </c>
      <c r="P15" s="90">
        <v>2033</v>
      </c>
      <c r="Q15" s="90">
        <v>2378</v>
      </c>
      <c r="R15" s="90">
        <v>446</v>
      </c>
      <c r="S15" s="90">
        <v>1147</v>
      </c>
      <c r="T15" s="90">
        <v>545</v>
      </c>
      <c r="U15" s="90">
        <v>80</v>
      </c>
      <c r="V15" s="90">
        <v>42</v>
      </c>
      <c r="W15" s="90">
        <v>1274</v>
      </c>
      <c r="X15" s="90">
        <v>138</v>
      </c>
      <c r="Y15" s="90">
        <v>6299</v>
      </c>
      <c r="Z15" s="90">
        <v>7933</v>
      </c>
      <c r="AA15" s="90">
        <v>4141</v>
      </c>
      <c r="AB15" s="90">
        <v>13</v>
      </c>
      <c r="AC15" s="90">
        <v>5970</v>
      </c>
      <c r="AD15" s="90">
        <v>3531.2072254</v>
      </c>
      <c r="AE15" s="90">
        <v>49</v>
      </c>
      <c r="AF15" s="90">
        <v>16826</v>
      </c>
      <c r="AG15" s="90">
        <v>2138</v>
      </c>
      <c r="AH15" s="90">
        <v>189</v>
      </c>
      <c r="AI15" s="90">
        <v>45</v>
      </c>
      <c r="AJ15" s="90">
        <v>39</v>
      </c>
      <c r="AK15" s="90">
        <v>58328</v>
      </c>
    </row>
    <row r="16" spans="1:37" x14ac:dyDescent="0.25">
      <c r="A16" s="92" t="s">
        <v>540</v>
      </c>
      <c r="B16" s="90">
        <v>42628</v>
      </c>
      <c r="C16" s="90">
        <v>9574</v>
      </c>
      <c r="D16" s="90">
        <v>1005</v>
      </c>
      <c r="E16" s="90">
        <v>6222</v>
      </c>
      <c r="F16" s="90">
        <v>1984</v>
      </c>
      <c r="G16" s="90">
        <v>9677</v>
      </c>
      <c r="H16" s="90">
        <v>7630</v>
      </c>
      <c r="I16" s="90">
        <v>7196</v>
      </c>
      <c r="J16" s="90">
        <v>1131</v>
      </c>
      <c r="K16" s="90">
        <v>119</v>
      </c>
      <c r="L16" s="90">
        <v>30378</v>
      </c>
      <c r="M16" s="90">
        <v>1398</v>
      </c>
      <c r="N16" s="90">
        <v>1690</v>
      </c>
      <c r="O16" s="90">
        <v>178</v>
      </c>
      <c r="P16" s="90">
        <v>1291</v>
      </c>
      <c r="Q16" s="90">
        <v>1826</v>
      </c>
      <c r="R16" s="90">
        <v>459</v>
      </c>
      <c r="S16" s="90">
        <v>1027</v>
      </c>
      <c r="T16" s="90">
        <v>516</v>
      </c>
      <c r="U16" s="90">
        <v>88</v>
      </c>
      <c r="V16" s="90">
        <v>12</v>
      </c>
      <c r="W16" s="90">
        <v>1024</v>
      </c>
      <c r="X16" s="90">
        <v>58</v>
      </c>
      <c r="Y16" s="90">
        <v>4832</v>
      </c>
      <c r="Z16" s="90">
        <v>6176</v>
      </c>
      <c r="AA16" s="90">
        <v>2899</v>
      </c>
      <c r="AB16" s="90">
        <v>14</v>
      </c>
      <c r="AC16" s="90">
        <v>5280</v>
      </c>
      <c r="AD16" s="90">
        <v>1644.6617940000001</v>
      </c>
      <c r="AE16" s="90">
        <v>64</v>
      </c>
      <c r="AF16" s="90">
        <v>12618</v>
      </c>
      <c r="AG16" s="90">
        <v>1798</v>
      </c>
      <c r="AH16" s="90">
        <v>144</v>
      </c>
      <c r="AI16" s="90">
        <v>57</v>
      </c>
      <c r="AJ16" s="90">
        <v>24</v>
      </c>
      <c r="AK16" s="90">
        <v>42015</v>
      </c>
    </row>
    <row r="17" spans="1:37" x14ac:dyDescent="0.25">
      <c r="A17" s="92" t="s">
        <v>543</v>
      </c>
      <c r="B17" s="90">
        <v>55191</v>
      </c>
      <c r="C17" s="90">
        <v>9179</v>
      </c>
      <c r="D17" s="90">
        <v>1090</v>
      </c>
      <c r="E17" s="90">
        <v>6833</v>
      </c>
      <c r="F17" s="90">
        <v>2211</v>
      </c>
      <c r="G17" s="90">
        <v>12888</v>
      </c>
      <c r="H17" s="90">
        <v>9994</v>
      </c>
      <c r="I17" s="90">
        <v>8169</v>
      </c>
      <c r="J17" s="90">
        <v>1040</v>
      </c>
      <c r="K17" s="90">
        <v>150</v>
      </c>
      <c r="L17" s="90">
        <v>42836</v>
      </c>
      <c r="M17" s="90">
        <v>1556</v>
      </c>
      <c r="N17" s="90">
        <v>2268</v>
      </c>
      <c r="O17" s="90">
        <v>350</v>
      </c>
      <c r="P17" s="90">
        <v>1253</v>
      </c>
      <c r="Q17" s="90">
        <v>826</v>
      </c>
      <c r="R17" s="90">
        <v>367</v>
      </c>
      <c r="S17" s="90">
        <v>996</v>
      </c>
      <c r="T17" s="90">
        <v>539</v>
      </c>
      <c r="U17" s="90">
        <v>100</v>
      </c>
      <c r="V17" s="90">
        <v>0</v>
      </c>
      <c r="W17" s="90">
        <v>976</v>
      </c>
      <c r="X17" s="90">
        <v>67</v>
      </c>
      <c r="Y17" s="90">
        <v>6049</v>
      </c>
      <c r="Z17" s="90">
        <v>7643</v>
      </c>
      <c r="AA17" s="90">
        <v>3849</v>
      </c>
      <c r="AB17" s="90">
        <v>17</v>
      </c>
      <c r="AC17" s="90">
        <v>5470</v>
      </c>
      <c r="AD17" s="90">
        <v>655.55700645000002</v>
      </c>
      <c r="AE17" s="90">
        <v>70</v>
      </c>
      <c r="AF17" s="90">
        <v>17819</v>
      </c>
      <c r="AG17" s="90">
        <v>2448</v>
      </c>
      <c r="AH17" s="90">
        <v>218</v>
      </c>
      <c r="AI17" s="90">
        <v>60</v>
      </c>
      <c r="AJ17" s="90">
        <v>38</v>
      </c>
      <c r="AK17" s="90">
        <v>54988</v>
      </c>
    </row>
    <row r="18" spans="1:37" x14ac:dyDescent="0.25">
      <c r="A18" s="92" t="s">
        <v>564</v>
      </c>
      <c r="B18" s="90">
        <v>624340</v>
      </c>
      <c r="C18" s="90">
        <v>109188</v>
      </c>
      <c r="D18" s="90">
        <v>12845</v>
      </c>
      <c r="E18" s="90">
        <v>76834</v>
      </c>
      <c r="F18" s="90">
        <v>28757</v>
      </c>
      <c r="G18" s="90">
        <v>120872</v>
      </c>
      <c r="H18" s="90">
        <v>115632</v>
      </c>
      <c r="I18" s="90">
        <v>87819</v>
      </c>
      <c r="J18" s="90">
        <v>12777</v>
      </c>
      <c r="K18" s="90">
        <v>3618</v>
      </c>
      <c r="L18" s="90">
        <v>382356</v>
      </c>
      <c r="M18" s="90">
        <v>19738</v>
      </c>
      <c r="N18" s="90">
        <v>21624</v>
      </c>
      <c r="O18" s="90">
        <v>4150</v>
      </c>
      <c r="P18" s="90">
        <v>17640</v>
      </c>
      <c r="Q18" s="90">
        <v>25476</v>
      </c>
      <c r="R18" s="90">
        <v>7496</v>
      </c>
      <c r="S18" s="90">
        <v>12518</v>
      </c>
      <c r="T18" s="90">
        <v>10042</v>
      </c>
      <c r="U18" s="90">
        <v>1538</v>
      </c>
      <c r="V18" s="90">
        <v>192</v>
      </c>
      <c r="W18" s="90">
        <v>14981</v>
      </c>
      <c r="X18" s="90">
        <v>972</v>
      </c>
      <c r="Y18" s="90">
        <v>69241</v>
      </c>
      <c r="Z18" s="90">
        <v>87604</v>
      </c>
      <c r="AA18" s="90">
        <v>44402</v>
      </c>
      <c r="AB18" s="90">
        <v>156</v>
      </c>
      <c r="AC18" s="90">
        <v>64530</v>
      </c>
      <c r="AD18" s="93">
        <v>18610.447477526999</v>
      </c>
      <c r="AE18" s="90">
        <v>469</v>
      </c>
      <c r="AF18" s="90">
        <v>195574</v>
      </c>
      <c r="AG18" s="90">
        <v>25150</v>
      </c>
      <c r="AH18" s="90">
        <v>2198</v>
      </c>
      <c r="AI18" s="90">
        <v>564</v>
      </c>
      <c r="AJ18" s="90">
        <v>361</v>
      </c>
      <c r="AK18" s="90">
        <v>623347</v>
      </c>
    </row>
  </sheetData>
  <sheetProtection sheet="1" pivotTables="0"/>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7272-A95C-4F7E-9E5B-2E33C35B3B72}">
  <sheetPr codeName="Sheet4"/>
  <dimension ref="A1:J40"/>
  <sheetViews>
    <sheetView zoomScaleNormal="100" workbookViewId="0">
      <selection sqref="A1:J1"/>
    </sheetView>
  </sheetViews>
  <sheetFormatPr defaultRowHeight="15" x14ac:dyDescent="0.25"/>
  <cols>
    <col min="1" max="1" width="19.5703125" customWidth="1"/>
    <col min="2" max="2" width="35.5703125" customWidth="1"/>
    <col min="3" max="4" width="19.5703125" customWidth="1"/>
    <col min="5" max="8" width="22.28515625" customWidth="1"/>
    <col min="9" max="10" width="13.5703125" customWidth="1"/>
  </cols>
  <sheetData>
    <row r="1" spans="1:10" ht="18.75" x14ac:dyDescent="0.25">
      <c r="A1" s="154" t="s">
        <v>546</v>
      </c>
      <c r="B1" s="154"/>
      <c r="C1" s="154"/>
      <c r="D1" s="154"/>
      <c r="E1" s="154"/>
      <c r="F1" s="154"/>
      <c r="G1" s="154"/>
      <c r="H1" s="154"/>
      <c r="I1" s="154"/>
      <c r="J1" s="155"/>
    </row>
    <row r="2" spans="1:10" ht="18.75" x14ac:dyDescent="0.25">
      <c r="A2" s="47" t="s">
        <v>547</v>
      </c>
      <c r="B2" s="48" t="str">
        <f>InputHazards!A3</f>
        <v>Hazard 1</v>
      </c>
      <c r="C2" s="156" t="s">
        <v>611</v>
      </c>
      <c r="D2" s="156"/>
      <c r="E2" s="157">
        <f>InputHazards!B3</f>
        <v>0</v>
      </c>
      <c r="F2" s="158"/>
      <c r="G2" s="156" t="s">
        <v>548</v>
      </c>
      <c r="H2" s="156"/>
      <c r="I2" s="159">
        <f>GETPIVOTDATA("Sum of E_TOTPOP",InputCounties!$A$3)</f>
        <v>624340</v>
      </c>
      <c r="J2" s="159"/>
    </row>
    <row r="3" spans="1:10" ht="15.6" customHeight="1" x14ac:dyDescent="0.25">
      <c r="A3" s="148" t="s">
        <v>549</v>
      </c>
      <c r="B3" s="149"/>
      <c r="C3" s="140" t="s">
        <v>550</v>
      </c>
      <c r="D3" s="140" t="s">
        <v>551</v>
      </c>
      <c r="E3" s="152" t="s">
        <v>552</v>
      </c>
      <c r="F3" s="153" t="s">
        <v>553</v>
      </c>
      <c r="G3" s="153"/>
      <c r="H3" s="153"/>
      <c r="I3" s="138" t="s">
        <v>554</v>
      </c>
      <c r="J3" s="140" t="s">
        <v>555</v>
      </c>
    </row>
    <row r="4" spans="1:10" ht="31.5" x14ac:dyDescent="0.25">
      <c r="A4" s="150"/>
      <c r="B4" s="151"/>
      <c r="C4" s="141"/>
      <c r="D4" s="141"/>
      <c r="E4" s="152"/>
      <c r="F4" s="2" t="s">
        <v>556</v>
      </c>
      <c r="G4" s="2" t="s">
        <v>557</v>
      </c>
      <c r="H4" s="2" t="s">
        <v>558</v>
      </c>
      <c r="I4" s="139"/>
      <c r="J4" s="141"/>
    </row>
    <row r="5" spans="1:10" ht="81.75" customHeight="1" thickBot="1" x14ac:dyDescent="0.3">
      <c r="A5" s="150"/>
      <c r="B5" s="151"/>
      <c r="C5" s="141"/>
      <c r="D5" s="141"/>
      <c r="E5" s="51" t="s">
        <v>559</v>
      </c>
      <c r="F5" s="51" t="s">
        <v>560</v>
      </c>
      <c r="G5" s="51" t="s">
        <v>561</v>
      </c>
      <c r="H5" s="51" t="s">
        <v>562</v>
      </c>
      <c r="I5" s="139"/>
      <c r="J5" s="141"/>
    </row>
    <row r="6" spans="1:10" ht="16.5" thickTop="1" x14ac:dyDescent="0.25">
      <c r="A6" s="142" t="str">
        <f>TableCalculations!A11</f>
        <v>Socioeconomic Status</v>
      </c>
      <c r="B6" s="72" t="str">
        <f>TableCalculations!B11</f>
        <v>Below 150% Poverty</v>
      </c>
      <c r="C6" s="73">
        <f>TableCalculations!C11</f>
        <v>0.17488547906589358</v>
      </c>
      <c r="D6" s="74">
        <f>TableCalculations!D11</f>
        <v>109188</v>
      </c>
      <c r="E6" s="95"/>
      <c r="F6" s="95"/>
      <c r="G6" s="95"/>
      <c r="H6" s="95"/>
      <c r="I6" s="75">
        <f>((IF(E6="No Impact",0%,IF(E6="Low Impact",25%,IF(E6="Moderate Impact",50%,IF(E6="High Impact",75%,IF(E6="Very High Impact",100%,)))))))*(1-AVERAGE((IF(F6="Not At All Confident",0%,IF(F6="Slightly Confidence",25%,IF(F6="Somewhat Confident",50%,IF(F6="Fairly Confident",75%,IF(F6="Completely Confident",100%,)))))),(IF(G6="Completely Responsible",0%,IF(G6="Fairly Responsible",25%,IF(G6="Somewhat Responsible",50%,IF(G6="Slightly Responsible",75%,IF(G6="Not At All Responsible",100%,)))))),(IF(H6="Not At All Confident",0%,IF(H6="Slightly Confident",25%,IF(H6="Somewhat Confident",50%,IF(H6="Fairly Confident",75%,IF(H6="Completely Confident",100%,))))))))</f>
        <v>0</v>
      </c>
      <c r="J6" s="76">
        <f>$E$2*C6*I6</f>
        <v>0</v>
      </c>
    </row>
    <row r="7" spans="1:10" ht="15.75" x14ac:dyDescent="0.25">
      <c r="A7" s="143"/>
      <c r="B7" s="77" t="str">
        <f>TableCalculations!B12</f>
        <v>Unemployed</v>
      </c>
      <c r="C7" s="78">
        <f>TableCalculations!C12</f>
        <v>2.0573725854502355E-2</v>
      </c>
      <c r="D7" s="79">
        <f>TableCalculations!D12</f>
        <v>12845</v>
      </c>
      <c r="E7" s="96"/>
      <c r="F7" s="96"/>
      <c r="G7" s="96"/>
      <c r="H7" s="96"/>
      <c r="I7" s="80">
        <f t="shared" ref="I7:I39" si="0">((IF(E7="No Impact",0%,IF(E7="Low Impact",25%,IF(E7="Moderate Impact",50%,IF(E7="High Impact",75%,IF(E7="Very High Impact",100%,)))))))*(1-AVERAGE((IF(F7="Not At All Confident",0%,IF(F7="Slightly Confidence",25%,IF(F7="Somewhat Confident",50%,IF(F7="Fairly Confident",75%,IF(F7="Completely Confident",100%,)))))),(IF(G7="Completely Responsible",0%,IF(G7="Fairly Responsible",25%,IF(G7="Somewhat Responsible",50%,IF(G7="Slightly Responsible",75%,IF(G7="Not At All Responsible",100%,)))))),(IF(H7="Not At All Confident",0%,IF(H7="Slightly Confident",25%,IF(H7="Somewhat Confident",50%,IF(H7="Fairly Confident",75%,IF(H7="Completely Confident",100%,))))))))</f>
        <v>0</v>
      </c>
      <c r="J7" s="81">
        <f t="shared" ref="J7:J39" si="1">$E$2*C7*I7</f>
        <v>0</v>
      </c>
    </row>
    <row r="8" spans="1:10" ht="15.75" x14ac:dyDescent="0.25">
      <c r="A8" s="143"/>
      <c r="B8" s="77" t="str">
        <f>TableCalculations!B13</f>
        <v>Housing Cost Burden</v>
      </c>
      <c r="C8" s="78">
        <f>TableCalculations!C13</f>
        <v>0.12306435595989365</v>
      </c>
      <c r="D8" s="79">
        <f>TableCalculations!D13</f>
        <v>76834</v>
      </c>
      <c r="E8" s="96"/>
      <c r="F8" s="96"/>
      <c r="G8" s="96"/>
      <c r="H8" s="96"/>
      <c r="I8" s="80">
        <f t="shared" si="0"/>
        <v>0</v>
      </c>
      <c r="J8" s="81">
        <f t="shared" si="1"/>
        <v>0</v>
      </c>
    </row>
    <row r="9" spans="1:10" ht="16.5" thickBot="1" x14ac:dyDescent="0.3">
      <c r="A9" s="144"/>
      <c r="B9" s="82" t="str">
        <f>TableCalculations!B14</f>
        <v>No High School Diploma</v>
      </c>
      <c r="C9" s="83">
        <f>TableCalculations!C14</f>
        <v>4.6059839190184838E-2</v>
      </c>
      <c r="D9" s="84">
        <f>TableCalculations!D14</f>
        <v>28757</v>
      </c>
      <c r="E9" s="97"/>
      <c r="F9" s="97"/>
      <c r="G9" s="97"/>
      <c r="H9" s="97"/>
      <c r="I9" s="85">
        <f t="shared" si="0"/>
        <v>0</v>
      </c>
      <c r="J9" s="86">
        <f t="shared" si="1"/>
        <v>0</v>
      </c>
    </row>
    <row r="10" spans="1:10" ht="16.5" thickTop="1" x14ac:dyDescent="0.25">
      <c r="A10" s="145" t="str">
        <f>TableCalculations!A15</f>
        <v>Household Characteristics</v>
      </c>
      <c r="B10" s="72" t="str">
        <f>TableCalculations!B15</f>
        <v>65 &amp; Older</v>
      </c>
      <c r="C10" s="73">
        <f>TableCalculations!C15</f>
        <v>0.19359964122112952</v>
      </c>
      <c r="D10" s="74">
        <f>TableCalculations!D15</f>
        <v>120872</v>
      </c>
      <c r="E10" s="95"/>
      <c r="F10" s="95"/>
      <c r="G10" s="95"/>
      <c r="H10" s="95"/>
      <c r="I10" s="75">
        <f t="shared" si="0"/>
        <v>0</v>
      </c>
      <c r="J10" s="76">
        <f t="shared" si="1"/>
        <v>0</v>
      </c>
    </row>
    <row r="11" spans="1:10" ht="15.75" x14ac:dyDescent="0.25">
      <c r="A11" s="146"/>
      <c r="B11" s="77" t="str">
        <f>TableCalculations!B16</f>
        <v>17 &amp; Younger</v>
      </c>
      <c r="C11" s="78">
        <f>TableCalculations!C16</f>
        <v>0.18520677835794599</v>
      </c>
      <c r="D11" s="79">
        <f>TableCalculations!D16</f>
        <v>115632</v>
      </c>
      <c r="E11" s="96"/>
      <c r="F11" s="96"/>
      <c r="G11" s="96"/>
      <c r="H11" s="96"/>
      <c r="I11" s="80">
        <f t="shared" si="0"/>
        <v>0</v>
      </c>
      <c r="J11" s="81">
        <f t="shared" si="1"/>
        <v>0</v>
      </c>
    </row>
    <row r="12" spans="1:10" ht="15.75" x14ac:dyDescent="0.25">
      <c r="A12" s="146"/>
      <c r="B12" s="77" t="str">
        <f>TableCalculations!B17</f>
        <v>Civilian with a disability</v>
      </c>
      <c r="C12" s="78">
        <f>TableCalculations!C17</f>
        <v>0.14065893583624306</v>
      </c>
      <c r="D12" s="79">
        <f>TableCalculations!D17</f>
        <v>87819</v>
      </c>
      <c r="E12" s="96"/>
      <c r="F12" s="96"/>
      <c r="G12" s="96"/>
      <c r="H12" s="96"/>
      <c r="I12" s="80">
        <f t="shared" si="0"/>
        <v>0</v>
      </c>
      <c r="J12" s="81">
        <f t="shared" si="1"/>
        <v>0</v>
      </c>
    </row>
    <row r="13" spans="1:10" ht="15.75" x14ac:dyDescent="0.25">
      <c r="A13" s="146"/>
      <c r="B13" s="77" t="str">
        <f>TableCalculations!B18</f>
        <v>Single parent households</v>
      </c>
      <c r="C13" s="78">
        <f>TableCalculations!C18</f>
        <v>2.0464810840247302E-2</v>
      </c>
      <c r="D13" s="79">
        <f>TableCalculations!D18</f>
        <v>12777</v>
      </c>
      <c r="E13" s="96"/>
      <c r="F13" s="96"/>
      <c r="G13" s="96"/>
      <c r="H13" s="96"/>
      <c r="I13" s="80">
        <f t="shared" si="0"/>
        <v>0</v>
      </c>
      <c r="J13" s="81">
        <f t="shared" si="1"/>
        <v>0</v>
      </c>
    </row>
    <row r="14" spans="1:10" ht="15.75" x14ac:dyDescent="0.25">
      <c r="A14" s="146"/>
      <c r="B14" s="77" t="str">
        <f>TableCalculations!B19</f>
        <v>Limited English Proficiency</v>
      </c>
      <c r="C14" s="78">
        <f>TableCalculations!C19</f>
        <v>5.7949194349232788E-3</v>
      </c>
      <c r="D14" s="79">
        <f>TableCalculations!D19</f>
        <v>3618</v>
      </c>
      <c r="E14" s="96"/>
      <c r="F14" s="96"/>
      <c r="G14" s="96"/>
      <c r="H14" s="96"/>
      <c r="I14" s="80">
        <f t="shared" si="0"/>
        <v>0</v>
      </c>
      <c r="J14" s="81">
        <f t="shared" si="1"/>
        <v>0</v>
      </c>
    </row>
    <row r="15" spans="1:10" ht="16.5" thickBot="1" x14ac:dyDescent="0.3">
      <c r="A15" s="147"/>
      <c r="B15" s="82" t="str">
        <f>TableCalculations!B20</f>
        <v>Rural Residents</v>
      </c>
      <c r="C15" s="83">
        <f>TableCalculations!C20</f>
        <v>0.61339189889419532</v>
      </c>
      <c r="D15" s="84">
        <f>TableCalculations!D20</f>
        <v>382356</v>
      </c>
      <c r="E15" s="97"/>
      <c r="F15" s="97"/>
      <c r="G15" s="97"/>
      <c r="H15" s="97"/>
      <c r="I15" s="85">
        <f t="shared" si="0"/>
        <v>0</v>
      </c>
      <c r="J15" s="86">
        <f t="shared" si="1"/>
        <v>0</v>
      </c>
    </row>
    <row r="16" spans="1:10" ht="16.5" thickTop="1" x14ac:dyDescent="0.25">
      <c r="A16" s="142" t="str">
        <f>TableCalculations!A21</f>
        <v>Housing Type and Transportation</v>
      </c>
      <c r="B16" s="72" t="str">
        <f>TableCalculations!B21</f>
        <v>Multi-unit Structure</v>
      </c>
      <c r="C16" s="73">
        <f>TableCalculations!C21</f>
        <v>3.1614184578915336E-2</v>
      </c>
      <c r="D16" s="74">
        <f>TableCalculations!D21</f>
        <v>19738</v>
      </c>
      <c r="E16" s="95"/>
      <c r="F16" s="95"/>
      <c r="G16" s="95"/>
      <c r="H16" s="95"/>
      <c r="I16" s="75">
        <f t="shared" si="0"/>
        <v>0</v>
      </c>
      <c r="J16" s="76">
        <f t="shared" si="1"/>
        <v>0</v>
      </c>
    </row>
    <row r="17" spans="1:10" ht="15.75" x14ac:dyDescent="0.25">
      <c r="A17" s="143"/>
      <c r="B17" s="77" t="str">
        <f>TableCalculations!B22</f>
        <v>Mobile Homes</v>
      </c>
      <c r="C17" s="78">
        <f>TableCalculations!C22</f>
        <v>3.463497453310696E-2</v>
      </c>
      <c r="D17" s="79">
        <f>TableCalculations!D22</f>
        <v>21624</v>
      </c>
      <c r="E17" s="96"/>
      <c r="F17" s="96"/>
      <c r="G17" s="96"/>
      <c r="H17" s="96"/>
      <c r="I17" s="80">
        <f t="shared" si="0"/>
        <v>0</v>
      </c>
      <c r="J17" s="81">
        <f t="shared" si="1"/>
        <v>0</v>
      </c>
    </row>
    <row r="18" spans="1:10" ht="15.75" x14ac:dyDescent="0.25">
      <c r="A18" s="143"/>
      <c r="B18" s="77" t="str">
        <f>TableCalculations!B23</f>
        <v>Crowding</v>
      </c>
      <c r="C18" s="78">
        <f>TableCalculations!C23</f>
        <v>6.6470192523304609E-3</v>
      </c>
      <c r="D18" s="79">
        <f>TableCalculations!D23</f>
        <v>4150</v>
      </c>
      <c r="E18" s="96"/>
      <c r="F18" s="96"/>
      <c r="G18" s="96"/>
      <c r="H18" s="96"/>
      <c r="I18" s="80">
        <f t="shared" si="0"/>
        <v>0</v>
      </c>
      <c r="J18" s="81">
        <f t="shared" si="1"/>
        <v>0</v>
      </c>
    </row>
    <row r="19" spans="1:10" ht="15.75" x14ac:dyDescent="0.25">
      <c r="A19" s="143"/>
      <c r="B19" s="77" t="str">
        <f>TableCalculations!B24</f>
        <v>No Vehicle</v>
      </c>
      <c r="C19" s="78">
        <f>TableCalculations!C24</f>
        <v>2.8253836050869719E-2</v>
      </c>
      <c r="D19" s="79">
        <f>TableCalculations!D24</f>
        <v>17640</v>
      </c>
      <c r="E19" s="96"/>
      <c r="F19" s="96"/>
      <c r="G19" s="96"/>
      <c r="H19" s="96"/>
      <c r="I19" s="80">
        <f t="shared" si="0"/>
        <v>0</v>
      </c>
      <c r="J19" s="81">
        <f t="shared" si="1"/>
        <v>0</v>
      </c>
    </row>
    <row r="20" spans="1:10" ht="16.5" thickBot="1" x14ac:dyDescent="0.3">
      <c r="A20" s="144"/>
      <c r="B20" s="82" t="str">
        <f>TableCalculations!B25</f>
        <v>Group Quarters</v>
      </c>
      <c r="C20" s="83">
        <f>TableCalculations!C25</f>
        <v>4.0804689752378512E-2</v>
      </c>
      <c r="D20" s="84">
        <f>TableCalculations!D25</f>
        <v>25476</v>
      </c>
      <c r="E20" s="97"/>
      <c r="F20" s="97"/>
      <c r="G20" s="97"/>
      <c r="H20" s="97"/>
      <c r="I20" s="85">
        <f t="shared" si="0"/>
        <v>0</v>
      </c>
      <c r="J20" s="86">
        <f t="shared" si="1"/>
        <v>0</v>
      </c>
    </row>
    <row r="21" spans="1:10" ht="16.5" thickTop="1" x14ac:dyDescent="0.25">
      <c r="A21" s="145" t="str">
        <f>TableCalculations!A26</f>
        <v>Racial &amp; Ethnic Minority Status</v>
      </c>
      <c r="B21" s="72" t="str">
        <f>TableCalculations!B26</f>
        <v>Black or African American</v>
      </c>
      <c r="C21" s="73">
        <f>TableCalculations!C26</f>
        <v>1.2006278630233527E-2</v>
      </c>
      <c r="D21" s="74">
        <f>TableCalculations!D26</f>
        <v>7496</v>
      </c>
      <c r="E21" s="95"/>
      <c r="F21" s="95"/>
      <c r="G21" s="95"/>
      <c r="H21" s="95"/>
      <c r="I21" s="75">
        <f t="shared" si="0"/>
        <v>0</v>
      </c>
      <c r="J21" s="76">
        <f t="shared" si="1"/>
        <v>0</v>
      </c>
    </row>
    <row r="22" spans="1:10" ht="15.75" x14ac:dyDescent="0.25">
      <c r="A22" s="146"/>
      <c r="B22" s="77" t="str">
        <f>TableCalculations!B27</f>
        <v>Hispanic or Latino (of any race)</v>
      </c>
      <c r="C22" s="78">
        <f>TableCalculations!C27</f>
        <v>2.0049972771246437E-2</v>
      </c>
      <c r="D22" s="79">
        <f>TableCalculations!D27</f>
        <v>12518</v>
      </c>
      <c r="E22" s="96"/>
      <c r="F22" s="96"/>
      <c r="G22" s="96"/>
      <c r="H22" s="96"/>
      <c r="I22" s="80">
        <f t="shared" si="0"/>
        <v>0</v>
      </c>
      <c r="J22" s="81">
        <f t="shared" si="1"/>
        <v>0</v>
      </c>
    </row>
    <row r="23" spans="1:10" ht="15.75" x14ac:dyDescent="0.25">
      <c r="A23" s="146"/>
      <c r="B23" s="77" t="str">
        <f>TableCalculations!B28</f>
        <v>Asian</v>
      </c>
      <c r="C23" s="78">
        <f>TableCalculations!C28</f>
        <v>1.608418489925361E-2</v>
      </c>
      <c r="D23" s="79">
        <f>TableCalculations!D28</f>
        <v>10042</v>
      </c>
      <c r="E23" s="96"/>
      <c r="F23" s="96"/>
      <c r="G23" s="96"/>
      <c r="H23" s="96"/>
      <c r="I23" s="80">
        <f t="shared" si="0"/>
        <v>0</v>
      </c>
      <c r="J23" s="81">
        <f t="shared" si="1"/>
        <v>0</v>
      </c>
    </row>
    <row r="24" spans="1:10" ht="15.75" x14ac:dyDescent="0.25">
      <c r="A24" s="146"/>
      <c r="B24" s="77" t="str">
        <f>TableCalculations!B29</f>
        <v>American Indian or Alaska Native</v>
      </c>
      <c r="C24" s="78">
        <f>TableCalculations!C29</f>
        <v>2.4634013518275298E-3</v>
      </c>
      <c r="D24" s="79">
        <f>TableCalculations!D29</f>
        <v>1538</v>
      </c>
      <c r="E24" s="96"/>
      <c r="F24" s="96"/>
      <c r="G24" s="96"/>
      <c r="H24" s="96"/>
      <c r="I24" s="80">
        <f t="shared" si="0"/>
        <v>0</v>
      </c>
      <c r="J24" s="81">
        <f t="shared" si="1"/>
        <v>0</v>
      </c>
    </row>
    <row r="25" spans="1:10" ht="15.75" x14ac:dyDescent="0.25">
      <c r="A25" s="146"/>
      <c r="B25" s="77" t="str">
        <f>TableCalculations!B30</f>
        <v>Native Hawaiian or Pacific Islander</v>
      </c>
      <c r="C25" s="78">
        <f>TableCalculations!C30</f>
        <v>3.075247461319153E-4</v>
      </c>
      <c r="D25" s="79">
        <f>TableCalculations!D30</f>
        <v>192</v>
      </c>
      <c r="E25" s="96"/>
      <c r="F25" s="96"/>
      <c r="G25" s="96"/>
      <c r="H25" s="96"/>
      <c r="I25" s="80">
        <f t="shared" si="0"/>
        <v>0</v>
      </c>
      <c r="J25" s="81">
        <f t="shared" si="1"/>
        <v>0</v>
      </c>
    </row>
    <row r="26" spans="1:10" ht="15.75" x14ac:dyDescent="0.25">
      <c r="A26" s="146"/>
      <c r="B26" s="77" t="str">
        <f>TableCalculations!B31</f>
        <v>Two or More Races</v>
      </c>
      <c r="C26" s="78">
        <f>TableCalculations!C31</f>
        <v>2.3994938655219913E-2</v>
      </c>
      <c r="D26" s="79">
        <f>TableCalculations!D31</f>
        <v>14981</v>
      </c>
      <c r="E26" s="96"/>
      <c r="F26" s="96"/>
      <c r="G26" s="96"/>
      <c r="H26" s="96"/>
      <c r="I26" s="80">
        <f t="shared" si="0"/>
        <v>0</v>
      </c>
      <c r="J26" s="81">
        <f t="shared" si="1"/>
        <v>0</v>
      </c>
    </row>
    <row r="27" spans="1:10" ht="16.5" thickBot="1" x14ac:dyDescent="0.3">
      <c r="A27" s="147"/>
      <c r="B27" s="82" t="str">
        <f>TableCalculations!B32</f>
        <v>Other Races</v>
      </c>
      <c r="C27" s="83">
        <f>TableCalculations!C32</f>
        <v>1.5568440272928212E-3</v>
      </c>
      <c r="D27" s="84">
        <f>TableCalculations!D32</f>
        <v>972</v>
      </c>
      <c r="E27" s="97"/>
      <c r="F27" s="97"/>
      <c r="G27" s="97"/>
      <c r="H27" s="97"/>
      <c r="I27" s="85">
        <f t="shared" si="0"/>
        <v>0</v>
      </c>
      <c r="J27" s="86">
        <f t="shared" si="1"/>
        <v>0</v>
      </c>
    </row>
    <row r="28" spans="1:10" ht="16.5" thickTop="1" x14ac:dyDescent="0.25">
      <c r="A28" s="135" t="str">
        <f>TableCalculations!A33</f>
        <v>Health Characteristics</v>
      </c>
      <c r="B28" s="57" t="str">
        <f>TableCalculations!B33</f>
        <v>Frequent Physical Distress</v>
      </c>
      <c r="C28" s="58">
        <f>TableCalculations!C33</f>
        <v>0.11107938275150117</v>
      </c>
      <c r="D28" s="59">
        <f>TableCalculations!D33</f>
        <v>69241</v>
      </c>
      <c r="E28" s="98"/>
      <c r="F28" s="98"/>
      <c r="G28" s="98"/>
      <c r="H28" s="98"/>
      <c r="I28" s="60">
        <f t="shared" si="0"/>
        <v>0</v>
      </c>
      <c r="J28" s="61">
        <f t="shared" si="1"/>
        <v>0</v>
      </c>
    </row>
    <row r="29" spans="1:10" ht="15.75" x14ac:dyDescent="0.25">
      <c r="A29" s="136"/>
      <c r="B29" s="62" t="str">
        <f>TableCalculations!B34</f>
        <v>Frequent Mental Distress</v>
      </c>
      <c r="C29" s="63">
        <f>TableCalculations!C34</f>
        <v>0.14053809515406346</v>
      </c>
      <c r="D29" s="64">
        <f>TableCalculations!D34</f>
        <v>87604</v>
      </c>
      <c r="E29" s="99"/>
      <c r="F29" s="99"/>
      <c r="G29" s="99"/>
      <c r="H29" s="99"/>
      <c r="I29" s="65">
        <f t="shared" si="0"/>
        <v>0</v>
      </c>
      <c r="J29" s="66">
        <f t="shared" si="1"/>
        <v>0</v>
      </c>
    </row>
    <row r="30" spans="1:10" ht="15.75" x14ac:dyDescent="0.25">
      <c r="A30" s="136"/>
      <c r="B30" s="62" t="str">
        <f>TableCalculations!B35</f>
        <v>Adults with Diabetes</v>
      </c>
      <c r="C30" s="63">
        <f>TableCalculations!C35</f>
        <v>7.1231593318007463E-2</v>
      </c>
      <c r="D30" s="64">
        <f>TableCalculations!D35</f>
        <v>44402</v>
      </c>
      <c r="E30" s="99"/>
      <c r="F30" s="99"/>
      <c r="G30" s="99"/>
      <c r="H30" s="99"/>
      <c r="I30" s="65">
        <f t="shared" si="0"/>
        <v>0</v>
      </c>
      <c r="J30" s="66">
        <f t="shared" si="1"/>
        <v>0</v>
      </c>
    </row>
    <row r="31" spans="1:10" ht="15.75" x14ac:dyDescent="0.25">
      <c r="A31" s="136"/>
      <c r="B31" s="62" t="str">
        <f>TableCalculations!B36</f>
        <v>Persons living with HIV</v>
      </c>
      <c r="C31" s="63">
        <f>TableCalculations!C36</f>
        <v>2.5026189265369049E-4</v>
      </c>
      <c r="D31" s="64">
        <f>TableCalculations!D36</f>
        <v>156</v>
      </c>
      <c r="E31" s="99"/>
      <c r="F31" s="99"/>
      <c r="G31" s="99"/>
      <c r="H31" s="99"/>
      <c r="I31" s="65">
        <f t="shared" si="0"/>
        <v>0</v>
      </c>
      <c r="J31" s="66">
        <f t="shared" si="1"/>
        <v>0</v>
      </c>
    </row>
    <row r="32" spans="1:10" ht="15.75" x14ac:dyDescent="0.25">
      <c r="A32" s="136"/>
      <c r="B32" s="62" t="str">
        <f>TableCalculations!B37</f>
        <v>Food Insecure</v>
      </c>
      <c r="C32" s="63">
        <f>TableCalculations!C37</f>
        <v>0.10352179444194004</v>
      </c>
      <c r="D32" s="64">
        <f>TableCalculations!D37</f>
        <v>64530</v>
      </c>
      <c r="E32" s="99"/>
      <c r="F32" s="99"/>
      <c r="G32" s="99"/>
      <c r="H32" s="99"/>
      <c r="I32" s="65">
        <f t="shared" si="0"/>
        <v>0</v>
      </c>
      <c r="J32" s="66">
        <f t="shared" si="1"/>
        <v>0</v>
      </c>
    </row>
    <row r="33" spans="1:10" ht="15.75" x14ac:dyDescent="0.25">
      <c r="A33" s="136"/>
      <c r="B33" s="62" t="str">
        <f>TableCalculations!B38</f>
        <v>Limited Access to Healthy Food</v>
      </c>
      <c r="C33" s="63">
        <f>TableCalculations!C38</f>
        <v>2.9855678261910299E-2</v>
      </c>
      <c r="D33" s="64">
        <f>TableCalculations!D38</f>
        <v>18610.447477526999</v>
      </c>
      <c r="E33" s="99"/>
      <c r="F33" s="99"/>
      <c r="G33" s="99"/>
      <c r="H33" s="99"/>
      <c r="I33" s="65">
        <f t="shared" si="0"/>
        <v>0</v>
      </c>
      <c r="J33" s="66">
        <f t="shared" si="1"/>
        <v>0</v>
      </c>
    </row>
    <row r="34" spans="1:10" ht="15.75" x14ac:dyDescent="0.25">
      <c r="A34" s="136"/>
      <c r="B34" s="62" t="str">
        <f>TableCalculations!B39</f>
        <v>Drug Overdose Deaths</v>
      </c>
      <c r="C34" s="63">
        <f>TableCalculations!C39</f>
        <v>7.5238992086269763E-4</v>
      </c>
      <c r="D34" s="64">
        <f>TableCalculations!D39</f>
        <v>469</v>
      </c>
      <c r="E34" s="99"/>
      <c r="F34" s="99"/>
      <c r="G34" s="99"/>
      <c r="H34" s="99"/>
      <c r="I34" s="65">
        <f t="shared" si="0"/>
        <v>0</v>
      </c>
      <c r="J34" s="66">
        <f t="shared" si="1"/>
        <v>0</v>
      </c>
    </row>
    <row r="35" spans="1:10" ht="15.75" x14ac:dyDescent="0.25">
      <c r="A35" s="136"/>
      <c r="B35" s="62" t="str">
        <f>TableCalculations!B40</f>
        <v>Insufficient Sleep</v>
      </c>
      <c r="C35" s="63">
        <f>TableCalculations!C40</f>
        <v>0.31374820124264657</v>
      </c>
      <c r="D35" s="64">
        <f>TableCalculations!D40</f>
        <v>195574</v>
      </c>
      <c r="E35" s="99"/>
      <c r="F35" s="99"/>
      <c r="G35" s="99"/>
      <c r="H35" s="99"/>
      <c r="I35" s="65">
        <f t="shared" si="0"/>
        <v>0</v>
      </c>
      <c r="J35" s="66">
        <f t="shared" si="1"/>
        <v>0</v>
      </c>
    </row>
    <row r="36" spans="1:10" ht="15.75" x14ac:dyDescent="0.25">
      <c r="A36" s="136"/>
      <c r="B36" s="62" t="str">
        <f>TableCalculations!B41</f>
        <v>Uninsured Adults</v>
      </c>
      <c r="C36" s="63">
        <f>TableCalculations!C41</f>
        <v>4.034670897589946E-2</v>
      </c>
      <c r="D36" s="64">
        <f>TableCalculations!D41</f>
        <v>25150</v>
      </c>
      <c r="E36" s="99"/>
      <c r="F36" s="99"/>
      <c r="G36" s="99"/>
      <c r="H36" s="99"/>
      <c r="I36" s="65">
        <f t="shared" si="0"/>
        <v>0</v>
      </c>
      <c r="J36" s="66">
        <f t="shared" si="1"/>
        <v>0</v>
      </c>
    </row>
    <row r="37" spans="1:10" ht="15.75" x14ac:dyDescent="0.25">
      <c r="A37" s="136"/>
      <c r="B37" s="62" t="str">
        <f>TableCalculations!B42</f>
        <v>Uninsured Children</v>
      </c>
      <c r="C37" s="63">
        <f>TableCalculations!C42</f>
        <v>3.526125897774434E-3</v>
      </c>
      <c r="D37" s="64">
        <f>TableCalculations!D42</f>
        <v>2198</v>
      </c>
      <c r="E37" s="99"/>
      <c r="F37" s="99"/>
      <c r="G37" s="99"/>
      <c r="H37" s="99"/>
      <c r="I37" s="65">
        <f t="shared" si="0"/>
        <v>0</v>
      </c>
      <c r="J37" s="66">
        <f t="shared" si="1"/>
        <v>0</v>
      </c>
    </row>
    <row r="38" spans="1:10" ht="15.75" x14ac:dyDescent="0.25">
      <c r="A38" s="136"/>
      <c r="B38" s="62" t="str">
        <f>TableCalculations!B43</f>
        <v>Suicide Deaths</v>
      </c>
      <c r="C38" s="63">
        <f>TableCalculations!C43</f>
        <v>9.0479299651718861E-4</v>
      </c>
      <c r="D38" s="64">
        <f>TableCalculations!D43</f>
        <v>564</v>
      </c>
      <c r="E38" s="99"/>
      <c r="F38" s="99"/>
      <c r="G38" s="99"/>
      <c r="H38" s="99"/>
      <c r="I38" s="65">
        <f t="shared" si="0"/>
        <v>0</v>
      </c>
      <c r="J38" s="66">
        <f t="shared" si="1"/>
        <v>0</v>
      </c>
    </row>
    <row r="39" spans="1:10" ht="16.5" thickBot="1" x14ac:dyDescent="0.3">
      <c r="A39" s="137"/>
      <c r="B39" s="67" t="str">
        <f>TableCalculations!B44</f>
        <v>Firearm Deaths</v>
      </c>
      <c r="C39" s="68">
        <f>TableCalculations!C44</f>
        <v>5.7913168748706574E-4</v>
      </c>
      <c r="D39" s="69">
        <f>TableCalculations!D44</f>
        <v>361</v>
      </c>
      <c r="E39" s="100"/>
      <c r="F39" s="100"/>
      <c r="G39" s="100"/>
      <c r="H39" s="100"/>
      <c r="I39" s="70">
        <f t="shared" si="0"/>
        <v>0</v>
      </c>
      <c r="J39" s="71">
        <f t="shared" si="1"/>
        <v>0</v>
      </c>
    </row>
    <row r="40" spans="1:10" ht="15.75" thickTop="1" x14ac:dyDescent="0.25"/>
  </sheetData>
  <sheetProtection sheet="1" objects="1" scenarios="1"/>
  <mergeCells count="17">
    <mergeCell ref="A1:J1"/>
    <mergeCell ref="C2:D2"/>
    <mergeCell ref="E2:F2"/>
    <mergeCell ref="G2:H2"/>
    <mergeCell ref="I2:J2"/>
    <mergeCell ref="A28:A39"/>
    <mergeCell ref="I3:I5"/>
    <mergeCell ref="J3:J5"/>
    <mergeCell ref="A6:A9"/>
    <mergeCell ref="A10:A15"/>
    <mergeCell ref="A16:A20"/>
    <mergeCell ref="A21:A27"/>
    <mergeCell ref="A3:B5"/>
    <mergeCell ref="C3:C5"/>
    <mergeCell ref="D3:D5"/>
    <mergeCell ref="E3:E4"/>
    <mergeCell ref="F3:H3"/>
  </mergeCells>
  <conditionalFormatting sqref="J6:J39">
    <cfRule type="top10" dxfId="7" priority="2" rank="5"/>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275A792-046E-463A-867D-CA2F502C31E0}">
          <x14:formula1>
            <xm:f>TableCalculations!$A$2:$A$6</xm:f>
          </x14:formula1>
          <xm:sqref>E6:E39</xm:sqref>
        </x14:dataValidation>
        <x14:dataValidation type="list" allowBlank="1" showInputMessage="1" showErrorMessage="1" xr:uid="{B0C81AB8-0B91-4F7D-839B-B0E7AF879047}">
          <x14:formula1>
            <xm:f>TableCalculations!$B$2:$B$6</xm:f>
          </x14:formula1>
          <xm:sqref>F6:F39</xm:sqref>
        </x14:dataValidation>
        <x14:dataValidation type="list" allowBlank="1" showInputMessage="1" showErrorMessage="1" xr:uid="{A9030045-2088-469C-930D-B632141D6497}">
          <x14:formula1>
            <xm:f>TableCalculations!$C$2:$C$6</xm:f>
          </x14:formula1>
          <xm:sqref>G6:G39</xm:sqref>
        </x14:dataValidation>
        <x14:dataValidation type="list" allowBlank="1" showInputMessage="1" showErrorMessage="1" xr:uid="{CF489E32-4898-475C-91FF-EC9A9E9620BA}">
          <x14:formula1>
            <xm:f>TableCalculations!$D$2:$D$6</xm:f>
          </x14:formula1>
          <xm:sqref>H6:H39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3816-44B9-402A-8474-F09194C63965}">
  <sheetPr codeName="Sheet5"/>
  <dimension ref="A1:J40"/>
  <sheetViews>
    <sheetView workbookViewId="0">
      <selection sqref="A1:J1"/>
    </sheetView>
  </sheetViews>
  <sheetFormatPr defaultRowHeight="15" x14ac:dyDescent="0.25"/>
  <cols>
    <col min="1" max="1" width="19.5703125" customWidth="1"/>
    <col min="2" max="2" width="35.5703125" customWidth="1"/>
    <col min="3" max="4" width="19.5703125" customWidth="1"/>
    <col min="5" max="8" width="22.28515625" customWidth="1"/>
    <col min="9" max="10" width="13.5703125" customWidth="1"/>
  </cols>
  <sheetData>
    <row r="1" spans="1:10" ht="18.75" x14ac:dyDescent="0.25">
      <c r="A1" s="154" t="s">
        <v>546</v>
      </c>
      <c r="B1" s="154"/>
      <c r="C1" s="154"/>
      <c r="D1" s="154"/>
      <c r="E1" s="154"/>
      <c r="F1" s="154"/>
      <c r="G1" s="154"/>
      <c r="H1" s="154"/>
      <c r="I1" s="154"/>
      <c r="J1" s="155"/>
    </row>
    <row r="2" spans="1:10" ht="18.75" x14ac:dyDescent="0.25">
      <c r="A2" s="47" t="s">
        <v>547</v>
      </c>
      <c r="B2" s="48" t="str">
        <f>InputHazards!A4</f>
        <v>Hazard 2</v>
      </c>
      <c r="C2" s="156" t="s">
        <v>611</v>
      </c>
      <c r="D2" s="156"/>
      <c r="E2" s="157">
        <f>InputHazards!B4</f>
        <v>0</v>
      </c>
      <c r="F2" s="158"/>
      <c r="G2" s="156" t="s">
        <v>548</v>
      </c>
      <c r="H2" s="156"/>
      <c r="I2" s="159">
        <f>GETPIVOTDATA("Sum of E_TOTPOP",InputCounties!$A$3)</f>
        <v>624340</v>
      </c>
      <c r="J2" s="159"/>
    </row>
    <row r="3" spans="1:10" ht="15.6" customHeight="1" x14ac:dyDescent="0.25">
      <c r="A3" s="148" t="s">
        <v>549</v>
      </c>
      <c r="B3" s="149"/>
      <c r="C3" s="140" t="s">
        <v>550</v>
      </c>
      <c r="D3" s="140" t="s">
        <v>551</v>
      </c>
      <c r="E3" s="152" t="s">
        <v>552</v>
      </c>
      <c r="F3" s="153" t="s">
        <v>553</v>
      </c>
      <c r="G3" s="153"/>
      <c r="H3" s="153"/>
      <c r="I3" s="138" t="s">
        <v>554</v>
      </c>
      <c r="J3" s="140" t="s">
        <v>555</v>
      </c>
    </row>
    <row r="4" spans="1:10" ht="31.5" x14ac:dyDescent="0.25">
      <c r="A4" s="150"/>
      <c r="B4" s="151"/>
      <c r="C4" s="141"/>
      <c r="D4" s="141"/>
      <c r="E4" s="152"/>
      <c r="F4" s="2" t="s">
        <v>556</v>
      </c>
      <c r="G4" s="2" t="s">
        <v>557</v>
      </c>
      <c r="H4" s="2" t="s">
        <v>558</v>
      </c>
      <c r="I4" s="139"/>
      <c r="J4" s="141"/>
    </row>
    <row r="5" spans="1:10" ht="81.75" customHeight="1" thickBot="1" x14ac:dyDescent="0.3">
      <c r="A5" s="150"/>
      <c r="B5" s="151"/>
      <c r="C5" s="141"/>
      <c r="D5" s="141"/>
      <c r="E5" s="51" t="s">
        <v>559</v>
      </c>
      <c r="F5" s="51" t="s">
        <v>560</v>
      </c>
      <c r="G5" s="51" t="s">
        <v>561</v>
      </c>
      <c r="H5" s="51" t="s">
        <v>562</v>
      </c>
      <c r="I5" s="139"/>
      <c r="J5" s="141"/>
    </row>
    <row r="6" spans="1:10" ht="16.5" thickTop="1" x14ac:dyDescent="0.25">
      <c r="A6" s="142" t="str">
        <f>TableCalculations!A11</f>
        <v>Socioeconomic Status</v>
      </c>
      <c r="B6" s="72" t="str">
        <f>TableCalculations!B11</f>
        <v>Below 150% Poverty</v>
      </c>
      <c r="C6" s="73">
        <f>TableCalculations!C11</f>
        <v>0.17488547906589358</v>
      </c>
      <c r="D6" s="74">
        <f>TableCalculations!D11</f>
        <v>109188</v>
      </c>
      <c r="E6" s="95"/>
      <c r="F6" s="95"/>
      <c r="G6" s="95"/>
      <c r="H6" s="95"/>
      <c r="I6" s="75">
        <f>((IF(E6="No Impact",0%,IF(E6="Low Impact",25%,IF(E6="Moderate Impact",50%,IF(E6="High Impact",75%,IF(E6="Very High Impact",100%,)))))))*(1-AVERAGE((IF(F6="Not At All Confident",0%,IF(F6="Slightly Confidence",25%,IF(F6="Somewhat Confident",50%,IF(F6="Fairly Confident",75%,IF(F6="Completely Confident",100%,)))))),(IF(G6="Completely Responsible",0%,IF(G6="Fairly Responsible",25%,IF(G6="Somewhat Responsible",50%,IF(G6="Slightly Responsible",75%,IF(G6="Not At All Responsible",100%,)))))),(IF(H6="Not At All Confident",0%,IF(H6="Slightly Confident",25%,IF(H6="Somewhat Confident",50%,IF(H6="Fairly Confident",75%,IF(H6="Completely Confident",100%,))))))))</f>
        <v>0</v>
      </c>
      <c r="J6" s="76">
        <f>$E$2*C6*I6</f>
        <v>0</v>
      </c>
    </row>
    <row r="7" spans="1:10" ht="15.75" x14ac:dyDescent="0.25">
      <c r="A7" s="143"/>
      <c r="B7" s="77" t="str">
        <f>TableCalculations!B12</f>
        <v>Unemployed</v>
      </c>
      <c r="C7" s="78">
        <f>TableCalculations!C12</f>
        <v>2.0573725854502355E-2</v>
      </c>
      <c r="D7" s="79">
        <f>TableCalculations!D12</f>
        <v>12845</v>
      </c>
      <c r="E7" s="96"/>
      <c r="F7" s="96"/>
      <c r="G7" s="96"/>
      <c r="H7" s="96"/>
      <c r="I7" s="80">
        <f t="shared" ref="I7:I39" si="0">((IF(E7="No Impact",0%,IF(E7="Low Impact",25%,IF(E7="Moderate Impact",50%,IF(E7="High Impact",75%,IF(E7="Very High Impact",100%,)))))))*(1-AVERAGE((IF(F7="Not At All Confident",0%,IF(F7="Slightly Confidence",25%,IF(F7="Somewhat Confident",50%,IF(F7="Fairly Confident",75%,IF(F7="Completely Confident",100%,)))))),(IF(G7="Completely Responsible",0%,IF(G7="Fairly Responsible",25%,IF(G7="Somewhat Responsible",50%,IF(G7="Slightly Responsible",75%,IF(G7="Not At All Responsible",100%,)))))),(IF(H7="Not At All Confident",0%,IF(H7="Slightly Confident",25%,IF(H7="Somewhat Confident",50%,IF(H7="Fairly Confident",75%,IF(H7="Completely Confident",100%,))))))))</f>
        <v>0</v>
      </c>
      <c r="J7" s="81">
        <f t="shared" ref="J7:J39" si="1">$E$2*C7*I7</f>
        <v>0</v>
      </c>
    </row>
    <row r="8" spans="1:10" ht="15.75" x14ac:dyDescent="0.25">
      <c r="A8" s="143"/>
      <c r="B8" s="77" t="str">
        <f>TableCalculations!B13</f>
        <v>Housing Cost Burden</v>
      </c>
      <c r="C8" s="78">
        <f>TableCalculations!C13</f>
        <v>0.12306435595989365</v>
      </c>
      <c r="D8" s="79">
        <f>TableCalculations!D13</f>
        <v>76834</v>
      </c>
      <c r="E8" s="96"/>
      <c r="F8" s="96"/>
      <c r="G8" s="96"/>
      <c r="H8" s="96"/>
      <c r="I8" s="80">
        <f t="shared" si="0"/>
        <v>0</v>
      </c>
      <c r="J8" s="81">
        <f t="shared" si="1"/>
        <v>0</v>
      </c>
    </row>
    <row r="9" spans="1:10" ht="16.5" thickBot="1" x14ac:dyDescent="0.3">
      <c r="A9" s="144"/>
      <c r="B9" s="82" t="str">
        <f>TableCalculations!B14</f>
        <v>No High School Diploma</v>
      </c>
      <c r="C9" s="83">
        <f>TableCalculations!C14</f>
        <v>4.6059839190184838E-2</v>
      </c>
      <c r="D9" s="84">
        <f>TableCalculations!D14</f>
        <v>28757</v>
      </c>
      <c r="E9" s="97"/>
      <c r="F9" s="97"/>
      <c r="G9" s="97"/>
      <c r="H9" s="97"/>
      <c r="I9" s="85">
        <f t="shared" si="0"/>
        <v>0</v>
      </c>
      <c r="J9" s="86">
        <f t="shared" si="1"/>
        <v>0</v>
      </c>
    </row>
    <row r="10" spans="1:10" ht="16.5" thickTop="1" x14ac:dyDescent="0.25">
      <c r="A10" s="145" t="str">
        <f>TableCalculations!A15</f>
        <v>Household Characteristics</v>
      </c>
      <c r="B10" s="72" t="str">
        <f>TableCalculations!B15</f>
        <v>65 &amp; Older</v>
      </c>
      <c r="C10" s="73">
        <f>TableCalculations!C15</f>
        <v>0.19359964122112952</v>
      </c>
      <c r="D10" s="74">
        <f>TableCalculations!D15</f>
        <v>120872</v>
      </c>
      <c r="E10" s="95"/>
      <c r="F10" s="95"/>
      <c r="G10" s="95"/>
      <c r="H10" s="95"/>
      <c r="I10" s="75">
        <f t="shared" si="0"/>
        <v>0</v>
      </c>
      <c r="J10" s="76">
        <f t="shared" si="1"/>
        <v>0</v>
      </c>
    </row>
    <row r="11" spans="1:10" ht="15.75" x14ac:dyDescent="0.25">
      <c r="A11" s="146"/>
      <c r="B11" s="77" t="str">
        <f>TableCalculations!B16</f>
        <v>17 &amp; Younger</v>
      </c>
      <c r="C11" s="78">
        <f>TableCalculations!C16</f>
        <v>0.18520677835794599</v>
      </c>
      <c r="D11" s="79">
        <f>TableCalculations!D16</f>
        <v>115632</v>
      </c>
      <c r="E11" s="96"/>
      <c r="F11" s="96"/>
      <c r="G11" s="96"/>
      <c r="H11" s="96"/>
      <c r="I11" s="80">
        <f t="shared" si="0"/>
        <v>0</v>
      </c>
      <c r="J11" s="81">
        <f t="shared" si="1"/>
        <v>0</v>
      </c>
    </row>
    <row r="12" spans="1:10" ht="15.75" x14ac:dyDescent="0.25">
      <c r="A12" s="146"/>
      <c r="B12" s="77" t="str">
        <f>TableCalculations!B17</f>
        <v>Civilian with a disability</v>
      </c>
      <c r="C12" s="78">
        <f>TableCalculations!C17</f>
        <v>0.14065893583624306</v>
      </c>
      <c r="D12" s="79">
        <f>TableCalculations!D17</f>
        <v>87819</v>
      </c>
      <c r="E12" s="96"/>
      <c r="F12" s="96"/>
      <c r="G12" s="96"/>
      <c r="H12" s="96"/>
      <c r="I12" s="80">
        <f t="shared" si="0"/>
        <v>0</v>
      </c>
      <c r="J12" s="81">
        <f t="shared" si="1"/>
        <v>0</v>
      </c>
    </row>
    <row r="13" spans="1:10" ht="15.75" x14ac:dyDescent="0.25">
      <c r="A13" s="146"/>
      <c r="B13" s="77" t="str">
        <f>TableCalculations!B18</f>
        <v>Single parent households</v>
      </c>
      <c r="C13" s="78">
        <f>TableCalculations!C18</f>
        <v>2.0464810840247302E-2</v>
      </c>
      <c r="D13" s="79">
        <f>TableCalculations!D18</f>
        <v>12777</v>
      </c>
      <c r="E13" s="96"/>
      <c r="F13" s="96"/>
      <c r="G13" s="96"/>
      <c r="H13" s="96"/>
      <c r="I13" s="80">
        <f t="shared" si="0"/>
        <v>0</v>
      </c>
      <c r="J13" s="81">
        <f t="shared" si="1"/>
        <v>0</v>
      </c>
    </row>
    <row r="14" spans="1:10" ht="15.75" x14ac:dyDescent="0.25">
      <c r="A14" s="146"/>
      <c r="B14" s="77" t="str">
        <f>TableCalculations!B19</f>
        <v>Limited English Proficiency</v>
      </c>
      <c r="C14" s="78">
        <f>TableCalculations!C19</f>
        <v>5.7949194349232788E-3</v>
      </c>
      <c r="D14" s="79">
        <f>TableCalculations!D19</f>
        <v>3618</v>
      </c>
      <c r="E14" s="96"/>
      <c r="F14" s="96"/>
      <c r="G14" s="96"/>
      <c r="H14" s="96"/>
      <c r="I14" s="80">
        <f t="shared" si="0"/>
        <v>0</v>
      </c>
      <c r="J14" s="81">
        <f t="shared" si="1"/>
        <v>0</v>
      </c>
    </row>
    <row r="15" spans="1:10" ht="16.5" thickBot="1" x14ac:dyDescent="0.3">
      <c r="A15" s="147"/>
      <c r="B15" s="82" t="str">
        <f>TableCalculations!B20</f>
        <v>Rural Residents</v>
      </c>
      <c r="C15" s="83">
        <f>TableCalculations!C20</f>
        <v>0.61339189889419532</v>
      </c>
      <c r="D15" s="84">
        <f>TableCalculations!D20</f>
        <v>382356</v>
      </c>
      <c r="E15" s="97"/>
      <c r="F15" s="97"/>
      <c r="G15" s="97"/>
      <c r="H15" s="97"/>
      <c r="I15" s="85">
        <f t="shared" si="0"/>
        <v>0</v>
      </c>
      <c r="J15" s="86">
        <f t="shared" si="1"/>
        <v>0</v>
      </c>
    </row>
    <row r="16" spans="1:10" ht="16.5" thickTop="1" x14ac:dyDescent="0.25">
      <c r="A16" s="142" t="str">
        <f>TableCalculations!A21</f>
        <v>Housing Type and Transportation</v>
      </c>
      <c r="B16" s="72" t="str">
        <f>TableCalculations!B21</f>
        <v>Multi-unit Structure</v>
      </c>
      <c r="C16" s="73">
        <f>TableCalculations!C21</f>
        <v>3.1614184578915336E-2</v>
      </c>
      <c r="D16" s="74">
        <f>TableCalculations!D21</f>
        <v>19738</v>
      </c>
      <c r="E16" s="95"/>
      <c r="F16" s="95"/>
      <c r="G16" s="95"/>
      <c r="H16" s="95"/>
      <c r="I16" s="75">
        <f t="shared" si="0"/>
        <v>0</v>
      </c>
      <c r="J16" s="76">
        <f t="shared" si="1"/>
        <v>0</v>
      </c>
    </row>
    <row r="17" spans="1:10" ht="15.75" x14ac:dyDescent="0.25">
      <c r="A17" s="143"/>
      <c r="B17" s="77" t="str">
        <f>TableCalculations!B22</f>
        <v>Mobile Homes</v>
      </c>
      <c r="C17" s="78">
        <f>TableCalculations!C22</f>
        <v>3.463497453310696E-2</v>
      </c>
      <c r="D17" s="79">
        <f>TableCalculations!D22</f>
        <v>21624</v>
      </c>
      <c r="E17" s="96"/>
      <c r="F17" s="96"/>
      <c r="G17" s="96"/>
      <c r="H17" s="96"/>
      <c r="I17" s="80">
        <f t="shared" si="0"/>
        <v>0</v>
      </c>
      <c r="J17" s="81">
        <f t="shared" si="1"/>
        <v>0</v>
      </c>
    </row>
    <row r="18" spans="1:10" ht="15.75" x14ac:dyDescent="0.25">
      <c r="A18" s="143"/>
      <c r="B18" s="77" t="str">
        <f>TableCalculations!B23</f>
        <v>Crowding</v>
      </c>
      <c r="C18" s="78">
        <f>TableCalculations!C23</f>
        <v>6.6470192523304609E-3</v>
      </c>
      <c r="D18" s="79">
        <f>TableCalculations!D23</f>
        <v>4150</v>
      </c>
      <c r="E18" s="96"/>
      <c r="F18" s="96"/>
      <c r="G18" s="96"/>
      <c r="H18" s="96"/>
      <c r="I18" s="80">
        <f t="shared" si="0"/>
        <v>0</v>
      </c>
      <c r="J18" s="81">
        <f t="shared" si="1"/>
        <v>0</v>
      </c>
    </row>
    <row r="19" spans="1:10" ht="15.75" x14ac:dyDescent="0.25">
      <c r="A19" s="143"/>
      <c r="B19" s="77" t="str">
        <f>TableCalculations!B24</f>
        <v>No Vehicle</v>
      </c>
      <c r="C19" s="78">
        <f>TableCalculations!C24</f>
        <v>2.8253836050869719E-2</v>
      </c>
      <c r="D19" s="79">
        <f>TableCalculations!D24</f>
        <v>17640</v>
      </c>
      <c r="E19" s="96"/>
      <c r="F19" s="96"/>
      <c r="G19" s="96"/>
      <c r="H19" s="96"/>
      <c r="I19" s="80">
        <f t="shared" si="0"/>
        <v>0</v>
      </c>
      <c r="J19" s="81">
        <f t="shared" si="1"/>
        <v>0</v>
      </c>
    </row>
    <row r="20" spans="1:10" ht="16.5" thickBot="1" x14ac:dyDescent="0.3">
      <c r="A20" s="144"/>
      <c r="B20" s="82" t="str">
        <f>TableCalculations!B25</f>
        <v>Group Quarters</v>
      </c>
      <c r="C20" s="83">
        <f>TableCalculations!C25</f>
        <v>4.0804689752378512E-2</v>
      </c>
      <c r="D20" s="84">
        <f>TableCalculations!D25</f>
        <v>25476</v>
      </c>
      <c r="E20" s="97"/>
      <c r="F20" s="97"/>
      <c r="G20" s="97"/>
      <c r="H20" s="97"/>
      <c r="I20" s="85">
        <f t="shared" si="0"/>
        <v>0</v>
      </c>
      <c r="J20" s="86">
        <f t="shared" si="1"/>
        <v>0</v>
      </c>
    </row>
    <row r="21" spans="1:10" ht="16.5" thickTop="1" x14ac:dyDescent="0.25">
      <c r="A21" s="145" t="str">
        <f>TableCalculations!A26</f>
        <v>Racial &amp; Ethnic Minority Status</v>
      </c>
      <c r="B21" s="72" t="str">
        <f>TableCalculations!B26</f>
        <v>Black or African American</v>
      </c>
      <c r="C21" s="73">
        <f>TableCalculations!C26</f>
        <v>1.2006278630233527E-2</v>
      </c>
      <c r="D21" s="74">
        <f>TableCalculations!D26</f>
        <v>7496</v>
      </c>
      <c r="E21" s="95"/>
      <c r="F21" s="95"/>
      <c r="G21" s="95"/>
      <c r="H21" s="95"/>
      <c r="I21" s="75">
        <f t="shared" si="0"/>
        <v>0</v>
      </c>
      <c r="J21" s="76">
        <f t="shared" si="1"/>
        <v>0</v>
      </c>
    </row>
    <row r="22" spans="1:10" ht="15.75" x14ac:dyDescent="0.25">
      <c r="A22" s="146"/>
      <c r="B22" s="77" t="str">
        <f>TableCalculations!B27</f>
        <v>Hispanic or Latino (of any race)</v>
      </c>
      <c r="C22" s="78">
        <f>TableCalculations!C27</f>
        <v>2.0049972771246437E-2</v>
      </c>
      <c r="D22" s="79">
        <f>TableCalculations!D27</f>
        <v>12518</v>
      </c>
      <c r="E22" s="96"/>
      <c r="F22" s="96"/>
      <c r="G22" s="96"/>
      <c r="H22" s="96"/>
      <c r="I22" s="80">
        <f t="shared" si="0"/>
        <v>0</v>
      </c>
      <c r="J22" s="81">
        <f t="shared" si="1"/>
        <v>0</v>
      </c>
    </row>
    <row r="23" spans="1:10" ht="15.75" x14ac:dyDescent="0.25">
      <c r="A23" s="146"/>
      <c r="B23" s="77" t="str">
        <f>TableCalculations!B28</f>
        <v>Asian</v>
      </c>
      <c r="C23" s="78">
        <f>TableCalculations!C28</f>
        <v>1.608418489925361E-2</v>
      </c>
      <c r="D23" s="79">
        <f>TableCalculations!D28</f>
        <v>10042</v>
      </c>
      <c r="E23" s="96"/>
      <c r="F23" s="96"/>
      <c r="G23" s="96"/>
      <c r="H23" s="96"/>
      <c r="I23" s="80">
        <f t="shared" si="0"/>
        <v>0</v>
      </c>
      <c r="J23" s="81">
        <f t="shared" si="1"/>
        <v>0</v>
      </c>
    </row>
    <row r="24" spans="1:10" ht="15.75" x14ac:dyDescent="0.25">
      <c r="A24" s="146"/>
      <c r="B24" s="77" t="str">
        <f>TableCalculations!B29</f>
        <v>American Indian or Alaska Native</v>
      </c>
      <c r="C24" s="78">
        <f>TableCalculations!C29</f>
        <v>2.4634013518275298E-3</v>
      </c>
      <c r="D24" s="79">
        <f>TableCalculations!D29</f>
        <v>1538</v>
      </c>
      <c r="E24" s="96"/>
      <c r="F24" s="96"/>
      <c r="G24" s="96"/>
      <c r="H24" s="96"/>
      <c r="I24" s="80">
        <f t="shared" si="0"/>
        <v>0</v>
      </c>
      <c r="J24" s="81">
        <f t="shared" si="1"/>
        <v>0</v>
      </c>
    </row>
    <row r="25" spans="1:10" ht="15.75" x14ac:dyDescent="0.25">
      <c r="A25" s="146"/>
      <c r="B25" s="77" t="str">
        <f>TableCalculations!B30</f>
        <v>Native Hawaiian or Pacific Islander</v>
      </c>
      <c r="C25" s="78">
        <f>TableCalculations!C30</f>
        <v>3.075247461319153E-4</v>
      </c>
      <c r="D25" s="79">
        <f>TableCalculations!D30</f>
        <v>192</v>
      </c>
      <c r="E25" s="96"/>
      <c r="F25" s="96"/>
      <c r="G25" s="96"/>
      <c r="H25" s="96"/>
      <c r="I25" s="80">
        <f t="shared" si="0"/>
        <v>0</v>
      </c>
      <c r="J25" s="81">
        <f t="shared" si="1"/>
        <v>0</v>
      </c>
    </row>
    <row r="26" spans="1:10" ht="15.75" x14ac:dyDescent="0.25">
      <c r="A26" s="146"/>
      <c r="B26" s="77" t="str">
        <f>TableCalculations!B31</f>
        <v>Two or More Races</v>
      </c>
      <c r="C26" s="78">
        <f>TableCalculations!C31</f>
        <v>2.3994938655219913E-2</v>
      </c>
      <c r="D26" s="79">
        <f>TableCalculations!D31</f>
        <v>14981</v>
      </c>
      <c r="E26" s="96"/>
      <c r="F26" s="96"/>
      <c r="G26" s="96"/>
      <c r="H26" s="96"/>
      <c r="I26" s="80">
        <f t="shared" si="0"/>
        <v>0</v>
      </c>
      <c r="J26" s="81">
        <f t="shared" si="1"/>
        <v>0</v>
      </c>
    </row>
    <row r="27" spans="1:10" ht="16.5" thickBot="1" x14ac:dyDescent="0.3">
      <c r="A27" s="147"/>
      <c r="B27" s="82" t="str">
        <f>TableCalculations!B32</f>
        <v>Other Races</v>
      </c>
      <c r="C27" s="83">
        <f>TableCalculations!C32</f>
        <v>1.5568440272928212E-3</v>
      </c>
      <c r="D27" s="84">
        <f>TableCalculations!D32</f>
        <v>972</v>
      </c>
      <c r="E27" s="97"/>
      <c r="F27" s="97"/>
      <c r="G27" s="97"/>
      <c r="H27" s="97"/>
      <c r="I27" s="85">
        <f t="shared" si="0"/>
        <v>0</v>
      </c>
      <c r="J27" s="86">
        <f t="shared" si="1"/>
        <v>0</v>
      </c>
    </row>
    <row r="28" spans="1:10" ht="16.5" thickTop="1" x14ac:dyDescent="0.25">
      <c r="A28" s="135" t="str">
        <f>TableCalculations!A33</f>
        <v>Health Characteristics</v>
      </c>
      <c r="B28" s="57" t="str">
        <f>TableCalculations!B33</f>
        <v>Frequent Physical Distress</v>
      </c>
      <c r="C28" s="58">
        <f>TableCalculations!C33</f>
        <v>0.11107938275150117</v>
      </c>
      <c r="D28" s="59">
        <f>TableCalculations!D33</f>
        <v>69241</v>
      </c>
      <c r="E28" s="98"/>
      <c r="F28" s="98"/>
      <c r="G28" s="98"/>
      <c r="H28" s="98"/>
      <c r="I28" s="60">
        <f t="shared" si="0"/>
        <v>0</v>
      </c>
      <c r="J28" s="61">
        <f t="shared" si="1"/>
        <v>0</v>
      </c>
    </row>
    <row r="29" spans="1:10" ht="15.75" x14ac:dyDescent="0.25">
      <c r="A29" s="136"/>
      <c r="B29" s="62" t="str">
        <f>TableCalculations!B34</f>
        <v>Frequent Mental Distress</v>
      </c>
      <c r="C29" s="63">
        <f>TableCalculations!C34</f>
        <v>0.14053809515406346</v>
      </c>
      <c r="D29" s="64">
        <f>TableCalculations!D34</f>
        <v>87604</v>
      </c>
      <c r="E29" s="99"/>
      <c r="F29" s="99"/>
      <c r="G29" s="99"/>
      <c r="H29" s="99"/>
      <c r="I29" s="65">
        <f t="shared" si="0"/>
        <v>0</v>
      </c>
      <c r="J29" s="66">
        <f t="shared" si="1"/>
        <v>0</v>
      </c>
    </row>
    <row r="30" spans="1:10" ht="15.75" x14ac:dyDescent="0.25">
      <c r="A30" s="136"/>
      <c r="B30" s="62" t="str">
        <f>TableCalculations!B35</f>
        <v>Adults with Diabetes</v>
      </c>
      <c r="C30" s="63">
        <f>TableCalculations!C35</f>
        <v>7.1231593318007463E-2</v>
      </c>
      <c r="D30" s="64">
        <f>TableCalculations!D35</f>
        <v>44402</v>
      </c>
      <c r="E30" s="99"/>
      <c r="F30" s="99"/>
      <c r="G30" s="99"/>
      <c r="H30" s="99"/>
      <c r="I30" s="65">
        <f t="shared" si="0"/>
        <v>0</v>
      </c>
      <c r="J30" s="66">
        <f t="shared" si="1"/>
        <v>0</v>
      </c>
    </row>
    <row r="31" spans="1:10" ht="15.75" x14ac:dyDescent="0.25">
      <c r="A31" s="136"/>
      <c r="B31" s="62" t="str">
        <f>TableCalculations!B36</f>
        <v>Persons living with HIV</v>
      </c>
      <c r="C31" s="63">
        <f>TableCalculations!C36</f>
        <v>2.5026189265369049E-4</v>
      </c>
      <c r="D31" s="64">
        <f>TableCalculations!D36</f>
        <v>156</v>
      </c>
      <c r="E31" s="99"/>
      <c r="F31" s="99"/>
      <c r="G31" s="99"/>
      <c r="H31" s="99"/>
      <c r="I31" s="65">
        <f t="shared" si="0"/>
        <v>0</v>
      </c>
      <c r="J31" s="66">
        <f t="shared" si="1"/>
        <v>0</v>
      </c>
    </row>
    <row r="32" spans="1:10" ht="15.75" x14ac:dyDescent="0.25">
      <c r="A32" s="136"/>
      <c r="B32" s="62" t="str">
        <f>TableCalculations!B37</f>
        <v>Food Insecure</v>
      </c>
      <c r="C32" s="63">
        <f>TableCalculations!C37</f>
        <v>0.10352179444194004</v>
      </c>
      <c r="D32" s="64">
        <f>TableCalculations!D37</f>
        <v>64530</v>
      </c>
      <c r="E32" s="99"/>
      <c r="F32" s="99"/>
      <c r="G32" s="99"/>
      <c r="H32" s="99"/>
      <c r="I32" s="65">
        <f t="shared" si="0"/>
        <v>0</v>
      </c>
      <c r="J32" s="66">
        <f t="shared" si="1"/>
        <v>0</v>
      </c>
    </row>
    <row r="33" spans="1:10" ht="15.75" x14ac:dyDescent="0.25">
      <c r="A33" s="136"/>
      <c r="B33" s="62" t="str">
        <f>TableCalculations!B38</f>
        <v>Limited Access to Healthy Food</v>
      </c>
      <c r="C33" s="63">
        <f>TableCalculations!C38</f>
        <v>2.9855678261910299E-2</v>
      </c>
      <c r="D33" s="64">
        <f>TableCalculations!D38</f>
        <v>18610.447477526999</v>
      </c>
      <c r="E33" s="99"/>
      <c r="F33" s="99"/>
      <c r="G33" s="99"/>
      <c r="H33" s="99"/>
      <c r="I33" s="65">
        <f t="shared" si="0"/>
        <v>0</v>
      </c>
      <c r="J33" s="66">
        <f t="shared" si="1"/>
        <v>0</v>
      </c>
    </row>
    <row r="34" spans="1:10" ht="15.75" x14ac:dyDescent="0.25">
      <c r="A34" s="136"/>
      <c r="B34" s="62" t="str">
        <f>TableCalculations!B39</f>
        <v>Drug Overdose Deaths</v>
      </c>
      <c r="C34" s="63">
        <f>TableCalculations!C39</f>
        <v>7.5238992086269763E-4</v>
      </c>
      <c r="D34" s="64">
        <f>TableCalculations!D39</f>
        <v>469</v>
      </c>
      <c r="E34" s="99"/>
      <c r="F34" s="99"/>
      <c r="G34" s="99"/>
      <c r="H34" s="99"/>
      <c r="I34" s="65">
        <f t="shared" si="0"/>
        <v>0</v>
      </c>
      <c r="J34" s="66">
        <f t="shared" si="1"/>
        <v>0</v>
      </c>
    </row>
    <row r="35" spans="1:10" ht="15.75" x14ac:dyDescent="0.25">
      <c r="A35" s="136"/>
      <c r="B35" s="62" t="str">
        <f>TableCalculations!B40</f>
        <v>Insufficient Sleep</v>
      </c>
      <c r="C35" s="63">
        <f>TableCalculations!C40</f>
        <v>0.31374820124264657</v>
      </c>
      <c r="D35" s="64">
        <f>TableCalculations!D40</f>
        <v>195574</v>
      </c>
      <c r="E35" s="99"/>
      <c r="F35" s="99"/>
      <c r="G35" s="99"/>
      <c r="H35" s="99"/>
      <c r="I35" s="65">
        <f t="shared" si="0"/>
        <v>0</v>
      </c>
      <c r="J35" s="66">
        <f t="shared" si="1"/>
        <v>0</v>
      </c>
    </row>
    <row r="36" spans="1:10" ht="15.75" x14ac:dyDescent="0.25">
      <c r="A36" s="136"/>
      <c r="B36" s="62" t="str">
        <f>TableCalculations!B41</f>
        <v>Uninsured Adults</v>
      </c>
      <c r="C36" s="63">
        <f>TableCalculations!C41</f>
        <v>4.034670897589946E-2</v>
      </c>
      <c r="D36" s="64">
        <f>TableCalculations!D41</f>
        <v>25150</v>
      </c>
      <c r="E36" s="99"/>
      <c r="F36" s="99"/>
      <c r="G36" s="99"/>
      <c r="H36" s="99"/>
      <c r="I36" s="65">
        <f t="shared" si="0"/>
        <v>0</v>
      </c>
      <c r="J36" s="66">
        <f t="shared" si="1"/>
        <v>0</v>
      </c>
    </row>
    <row r="37" spans="1:10" ht="15.75" x14ac:dyDescent="0.25">
      <c r="A37" s="136"/>
      <c r="B37" s="62" t="str">
        <f>TableCalculations!B42</f>
        <v>Uninsured Children</v>
      </c>
      <c r="C37" s="63">
        <f>TableCalculations!C42</f>
        <v>3.526125897774434E-3</v>
      </c>
      <c r="D37" s="64">
        <f>TableCalculations!D42</f>
        <v>2198</v>
      </c>
      <c r="E37" s="99"/>
      <c r="F37" s="99"/>
      <c r="G37" s="99"/>
      <c r="H37" s="99"/>
      <c r="I37" s="65">
        <f t="shared" si="0"/>
        <v>0</v>
      </c>
      <c r="J37" s="66">
        <f t="shared" si="1"/>
        <v>0</v>
      </c>
    </row>
    <row r="38" spans="1:10" ht="15.75" x14ac:dyDescent="0.25">
      <c r="A38" s="136"/>
      <c r="B38" s="62" t="str">
        <f>TableCalculations!B43</f>
        <v>Suicide Deaths</v>
      </c>
      <c r="C38" s="63">
        <f>TableCalculations!C43</f>
        <v>9.0479299651718861E-4</v>
      </c>
      <c r="D38" s="64">
        <f>TableCalculations!D43</f>
        <v>564</v>
      </c>
      <c r="E38" s="99"/>
      <c r="F38" s="99"/>
      <c r="G38" s="99"/>
      <c r="H38" s="99"/>
      <c r="I38" s="65">
        <f t="shared" si="0"/>
        <v>0</v>
      </c>
      <c r="J38" s="66">
        <f t="shared" si="1"/>
        <v>0</v>
      </c>
    </row>
    <row r="39" spans="1:10" ht="16.5" thickBot="1" x14ac:dyDescent="0.3">
      <c r="A39" s="137"/>
      <c r="B39" s="67" t="str">
        <f>TableCalculations!B44</f>
        <v>Firearm Deaths</v>
      </c>
      <c r="C39" s="68">
        <f>TableCalculations!C44</f>
        <v>5.7913168748706574E-4</v>
      </c>
      <c r="D39" s="69">
        <f>TableCalculations!D44</f>
        <v>361</v>
      </c>
      <c r="E39" s="100"/>
      <c r="F39" s="100"/>
      <c r="G39" s="100"/>
      <c r="H39" s="100"/>
      <c r="I39" s="70">
        <f t="shared" si="0"/>
        <v>0</v>
      </c>
      <c r="J39" s="71">
        <f t="shared" si="1"/>
        <v>0</v>
      </c>
    </row>
    <row r="40" spans="1:10" ht="15.75" thickTop="1" x14ac:dyDescent="0.25"/>
  </sheetData>
  <sheetProtection sheet="1" objects="1" scenarios="1"/>
  <mergeCells count="17">
    <mergeCell ref="A1:J1"/>
    <mergeCell ref="C2:D2"/>
    <mergeCell ref="E2:F2"/>
    <mergeCell ref="G2:H2"/>
    <mergeCell ref="I2:J2"/>
    <mergeCell ref="A28:A39"/>
    <mergeCell ref="I3:I5"/>
    <mergeCell ref="J3:J5"/>
    <mergeCell ref="A6:A9"/>
    <mergeCell ref="A10:A15"/>
    <mergeCell ref="A16:A20"/>
    <mergeCell ref="A21:A27"/>
    <mergeCell ref="A3:B5"/>
    <mergeCell ref="C3:C5"/>
    <mergeCell ref="D3:D5"/>
    <mergeCell ref="E3:E4"/>
    <mergeCell ref="F3:H3"/>
  </mergeCells>
  <conditionalFormatting sqref="J6:J39">
    <cfRule type="top10" dxfId="6" priority="1" rank="5"/>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A74EC97-C5B5-47E7-B479-03EDF67C2D0B}">
          <x14:formula1>
            <xm:f>TableCalculations!$D$2:$D$6</xm:f>
          </x14:formula1>
          <xm:sqref>H6:H39</xm:sqref>
        </x14:dataValidation>
        <x14:dataValidation type="list" allowBlank="1" showInputMessage="1" showErrorMessage="1" xr:uid="{30CF885D-6E0A-42BA-9F98-7BC2334DEE56}">
          <x14:formula1>
            <xm:f>TableCalculations!$C$2:$C$6</xm:f>
          </x14:formula1>
          <xm:sqref>G6:G39</xm:sqref>
        </x14:dataValidation>
        <x14:dataValidation type="list" allowBlank="1" showInputMessage="1" showErrorMessage="1" xr:uid="{8A5B92A2-CD90-4000-A176-489417DA90EE}">
          <x14:formula1>
            <xm:f>TableCalculations!$B$2:$B$6</xm:f>
          </x14:formula1>
          <xm:sqref>F6:F39</xm:sqref>
        </x14:dataValidation>
        <x14:dataValidation type="list" allowBlank="1" showInputMessage="1" showErrorMessage="1" xr:uid="{758AD38F-E6F1-4235-9E24-9802607F2936}">
          <x14:formula1>
            <xm:f>TableCalculations!$A$2:$A$6</xm:f>
          </x14:formula1>
          <xm:sqref>E6:E39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4AA1-0206-4C19-92D7-19A7EE76D654}">
  <sheetPr codeName="Sheet6"/>
  <dimension ref="A1:J40"/>
  <sheetViews>
    <sheetView workbookViewId="0">
      <selection sqref="A1:J1"/>
    </sheetView>
  </sheetViews>
  <sheetFormatPr defaultRowHeight="15" x14ac:dyDescent="0.25"/>
  <cols>
    <col min="1" max="1" width="19.5703125" customWidth="1"/>
    <col min="2" max="2" width="35.5703125" customWidth="1"/>
    <col min="3" max="4" width="19.5703125" customWidth="1"/>
    <col min="5" max="8" width="22.28515625" customWidth="1"/>
    <col min="9" max="10" width="13.5703125" customWidth="1"/>
  </cols>
  <sheetData>
    <row r="1" spans="1:10" ht="18.75" x14ac:dyDescent="0.25">
      <c r="A1" s="154" t="s">
        <v>546</v>
      </c>
      <c r="B1" s="154"/>
      <c r="C1" s="154"/>
      <c r="D1" s="154"/>
      <c r="E1" s="154"/>
      <c r="F1" s="154"/>
      <c r="G1" s="154"/>
      <c r="H1" s="154"/>
      <c r="I1" s="154"/>
      <c r="J1" s="155"/>
    </row>
    <row r="2" spans="1:10" ht="18.75" x14ac:dyDescent="0.25">
      <c r="A2" s="47" t="s">
        <v>547</v>
      </c>
      <c r="B2" s="48" t="str">
        <f>InputHazards!A5</f>
        <v>Hazard 3</v>
      </c>
      <c r="C2" s="156" t="s">
        <v>611</v>
      </c>
      <c r="D2" s="156"/>
      <c r="E2" s="157">
        <f>InputHazards!B5</f>
        <v>0</v>
      </c>
      <c r="F2" s="158"/>
      <c r="G2" s="156" t="s">
        <v>548</v>
      </c>
      <c r="H2" s="156"/>
      <c r="I2" s="159">
        <f>GETPIVOTDATA("Sum of E_TOTPOP",InputCounties!$A$3)</f>
        <v>624340</v>
      </c>
      <c r="J2" s="159"/>
    </row>
    <row r="3" spans="1:10" ht="15.6" customHeight="1" x14ac:dyDescent="0.25">
      <c r="A3" s="148" t="s">
        <v>549</v>
      </c>
      <c r="B3" s="149"/>
      <c r="C3" s="140" t="s">
        <v>550</v>
      </c>
      <c r="D3" s="140" t="s">
        <v>551</v>
      </c>
      <c r="E3" s="152" t="s">
        <v>552</v>
      </c>
      <c r="F3" s="153" t="s">
        <v>553</v>
      </c>
      <c r="G3" s="153"/>
      <c r="H3" s="153"/>
      <c r="I3" s="138" t="s">
        <v>554</v>
      </c>
      <c r="J3" s="140" t="s">
        <v>555</v>
      </c>
    </row>
    <row r="4" spans="1:10" ht="31.5" x14ac:dyDescent="0.25">
      <c r="A4" s="150"/>
      <c r="B4" s="151"/>
      <c r="C4" s="141"/>
      <c r="D4" s="141"/>
      <c r="E4" s="152"/>
      <c r="F4" s="2" t="s">
        <v>556</v>
      </c>
      <c r="G4" s="2" t="s">
        <v>557</v>
      </c>
      <c r="H4" s="2" t="s">
        <v>558</v>
      </c>
      <c r="I4" s="139"/>
      <c r="J4" s="141"/>
    </row>
    <row r="5" spans="1:10" ht="81.75" customHeight="1" thickBot="1" x14ac:dyDescent="0.3">
      <c r="A5" s="150"/>
      <c r="B5" s="151"/>
      <c r="C5" s="141"/>
      <c r="D5" s="141"/>
      <c r="E5" s="51" t="s">
        <v>559</v>
      </c>
      <c r="F5" s="51" t="s">
        <v>560</v>
      </c>
      <c r="G5" s="51" t="s">
        <v>561</v>
      </c>
      <c r="H5" s="51" t="s">
        <v>562</v>
      </c>
      <c r="I5" s="139"/>
      <c r="J5" s="141"/>
    </row>
    <row r="6" spans="1:10" ht="16.5" thickTop="1" x14ac:dyDescent="0.25">
      <c r="A6" s="142" t="str">
        <f>TableCalculations!A11</f>
        <v>Socioeconomic Status</v>
      </c>
      <c r="B6" s="72" t="str">
        <f>TableCalculations!B11</f>
        <v>Below 150% Poverty</v>
      </c>
      <c r="C6" s="73">
        <f>TableCalculations!C11</f>
        <v>0.17488547906589358</v>
      </c>
      <c r="D6" s="74">
        <f>TableCalculations!D11</f>
        <v>109188</v>
      </c>
      <c r="E6" s="95"/>
      <c r="F6" s="95"/>
      <c r="G6" s="95"/>
      <c r="H6" s="95"/>
      <c r="I6" s="75">
        <f>((IF(E6="No Impact",0%,IF(E6="Low Impact",25%,IF(E6="Moderate Impact",50%,IF(E6="High Impact",75%,IF(E6="Very High Impact",100%,)))))))*(1-AVERAGE((IF(F6="Not At All Confident",0%,IF(F6="Slightly Confidence",25%,IF(F6="Somewhat Confident",50%,IF(F6="Fairly Confident",75%,IF(F6="Completely Confident",100%,)))))),(IF(G6="Completely Responsible",0%,IF(G6="Fairly Responsible",25%,IF(G6="Somewhat Responsible",50%,IF(G6="Slightly Responsible",75%,IF(G6="Not At All Responsible",100%,)))))),(IF(H6="Not At All Confident",0%,IF(H6="Slightly Confident",25%,IF(H6="Somewhat Confident",50%,IF(H6="Fairly Confident",75%,IF(H6="Completely Confident",100%,))))))))</f>
        <v>0</v>
      </c>
      <c r="J6" s="76">
        <f>$E$2*C6*I6</f>
        <v>0</v>
      </c>
    </row>
    <row r="7" spans="1:10" ht="15.75" x14ac:dyDescent="0.25">
      <c r="A7" s="143"/>
      <c r="B7" s="77" t="str">
        <f>TableCalculations!B12</f>
        <v>Unemployed</v>
      </c>
      <c r="C7" s="78">
        <f>TableCalculations!C12</f>
        <v>2.0573725854502355E-2</v>
      </c>
      <c r="D7" s="79">
        <f>TableCalculations!D12</f>
        <v>12845</v>
      </c>
      <c r="E7" s="96"/>
      <c r="F7" s="96"/>
      <c r="G7" s="96"/>
      <c r="H7" s="96"/>
      <c r="I7" s="80">
        <f t="shared" ref="I7:I39" si="0">((IF(E7="No Impact",0%,IF(E7="Low Impact",25%,IF(E7="Moderate Impact",50%,IF(E7="High Impact",75%,IF(E7="Very High Impact",100%,)))))))*(1-AVERAGE((IF(F7="Not At All Confident",0%,IF(F7="Slightly Confidence",25%,IF(F7="Somewhat Confident",50%,IF(F7="Fairly Confident",75%,IF(F7="Completely Confident",100%,)))))),(IF(G7="Completely Responsible",0%,IF(G7="Fairly Responsible",25%,IF(G7="Somewhat Responsible",50%,IF(G7="Slightly Responsible",75%,IF(G7="Not At All Responsible",100%,)))))),(IF(H7="Not At All Confident",0%,IF(H7="Slightly Confident",25%,IF(H7="Somewhat Confident",50%,IF(H7="Fairly Confident",75%,IF(H7="Completely Confident",100%,))))))))</f>
        <v>0</v>
      </c>
      <c r="J7" s="81">
        <f t="shared" ref="J7:J39" si="1">$E$2*C7*I7</f>
        <v>0</v>
      </c>
    </row>
    <row r="8" spans="1:10" ht="15.75" x14ac:dyDescent="0.25">
      <c r="A8" s="143"/>
      <c r="B8" s="77" t="str">
        <f>TableCalculations!B13</f>
        <v>Housing Cost Burden</v>
      </c>
      <c r="C8" s="78">
        <f>TableCalculations!C13</f>
        <v>0.12306435595989365</v>
      </c>
      <c r="D8" s="79">
        <f>TableCalculations!D13</f>
        <v>76834</v>
      </c>
      <c r="E8" s="96"/>
      <c r="F8" s="96"/>
      <c r="G8" s="96"/>
      <c r="H8" s="96"/>
      <c r="I8" s="80">
        <f t="shared" si="0"/>
        <v>0</v>
      </c>
      <c r="J8" s="81">
        <f t="shared" si="1"/>
        <v>0</v>
      </c>
    </row>
    <row r="9" spans="1:10" ht="16.5" thickBot="1" x14ac:dyDescent="0.3">
      <c r="A9" s="144"/>
      <c r="B9" s="82" t="str">
        <f>TableCalculations!B14</f>
        <v>No High School Diploma</v>
      </c>
      <c r="C9" s="83">
        <f>TableCalculations!C14</f>
        <v>4.6059839190184838E-2</v>
      </c>
      <c r="D9" s="84">
        <f>TableCalculations!D14</f>
        <v>28757</v>
      </c>
      <c r="E9" s="97"/>
      <c r="F9" s="97"/>
      <c r="G9" s="97"/>
      <c r="H9" s="97"/>
      <c r="I9" s="85">
        <f t="shared" si="0"/>
        <v>0</v>
      </c>
      <c r="J9" s="86">
        <f t="shared" si="1"/>
        <v>0</v>
      </c>
    </row>
    <row r="10" spans="1:10" ht="16.5" thickTop="1" x14ac:dyDescent="0.25">
      <c r="A10" s="145" t="str">
        <f>TableCalculations!A15</f>
        <v>Household Characteristics</v>
      </c>
      <c r="B10" s="72" t="str">
        <f>TableCalculations!B15</f>
        <v>65 &amp; Older</v>
      </c>
      <c r="C10" s="73">
        <f>TableCalculations!C15</f>
        <v>0.19359964122112952</v>
      </c>
      <c r="D10" s="74">
        <f>TableCalculations!D15</f>
        <v>120872</v>
      </c>
      <c r="E10" s="95"/>
      <c r="F10" s="95"/>
      <c r="G10" s="95"/>
      <c r="H10" s="95"/>
      <c r="I10" s="75">
        <f t="shared" si="0"/>
        <v>0</v>
      </c>
      <c r="J10" s="76">
        <f t="shared" si="1"/>
        <v>0</v>
      </c>
    </row>
    <row r="11" spans="1:10" ht="15.75" x14ac:dyDescent="0.25">
      <c r="A11" s="146"/>
      <c r="B11" s="77" t="str">
        <f>TableCalculations!B16</f>
        <v>17 &amp; Younger</v>
      </c>
      <c r="C11" s="78">
        <f>TableCalculations!C16</f>
        <v>0.18520677835794599</v>
      </c>
      <c r="D11" s="79">
        <f>TableCalculations!D16</f>
        <v>115632</v>
      </c>
      <c r="E11" s="96"/>
      <c r="F11" s="96"/>
      <c r="G11" s="96"/>
      <c r="H11" s="96"/>
      <c r="I11" s="80">
        <f t="shared" si="0"/>
        <v>0</v>
      </c>
      <c r="J11" s="81">
        <f t="shared" si="1"/>
        <v>0</v>
      </c>
    </row>
    <row r="12" spans="1:10" ht="15.75" x14ac:dyDescent="0.25">
      <c r="A12" s="146"/>
      <c r="B12" s="77" t="str">
        <f>TableCalculations!B17</f>
        <v>Civilian with a disability</v>
      </c>
      <c r="C12" s="78">
        <f>TableCalculations!C17</f>
        <v>0.14065893583624306</v>
      </c>
      <c r="D12" s="79">
        <f>TableCalculations!D17</f>
        <v>87819</v>
      </c>
      <c r="E12" s="96"/>
      <c r="F12" s="96"/>
      <c r="G12" s="96"/>
      <c r="H12" s="96"/>
      <c r="I12" s="80">
        <f t="shared" si="0"/>
        <v>0</v>
      </c>
      <c r="J12" s="81">
        <f t="shared" si="1"/>
        <v>0</v>
      </c>
    </row>
    <row r="13" spans="1:10" ht="15.75" x14ac:dyDescent="0.25">
      <c r="A13" s="146"/>
      <c r="B13" s="77" t="str">
        <f>TableCalculations!B18</f>
        <v>Single parent households</v>
      </c>
      <c r="C13" s="78">
        <f>TableCalculations!C18</f>
        <v>2.0464810840247302E-2</v>
      </c>
      <c r="D13" s="79">
        <f>TableCalculations!D18</f>
        <v>12777</v>
      </c>
      <c r="E13" s="96"/>
      <c r="F13" s="96"/>
      <c r="G13" s="96"/>
      <c r="H13" s="96"/>
      <c r="I13" s="80">
        <f t="shared" si="0"/>
        <v>0</v>
      </c>
      <c r="J13" s="81">
        <f t="shared" si="1"/>
        <v>0</v>
      </c>
    </row>
    <row r="14" spans="1:10" ht="15.75" x14ac:dyDescent="0.25">
      <c r="A14" s="146"/>
      <c r="B14" s="77" t="str">
        <f>TableCalculations!B19</f>
        <v>Limited English Proficiency</v>
      </c>
      <c r="C14" s="78">
        <f>TableCalculations!C19</f>
        <v>5.7949194349232788E-3</v>
      </c>
      <c r="D14" s="79">
        <f>TableCalculations!D19</f>
        <v>3618</v>
      </c>
      <c r="E14" s="96"/>
      <c r="F14" s="96"/>
      <c r="G14" s="96"/>
      <c r="H14" s="96"/>
      <c r="I14" s="80">
        <f t="shared" si="0"/>
        <v>0</v>
      </c>
      <c r="J14" s="81">
        <f t="shared" si="1"/>
        <v>0</v>
      </c>
    </row>
    <row r="15" spans="1:10" ht="16.5" thickBot="1" x14ac:dyDescent="0.3">
      <c r="A15" s="147"/>
      <c r="B15" s="82" t="str">
        <f>TableCalculations!B20</f>
        <v>Rural Residents</v>
      </c>
      <c r="C15" s="83">
        <f>TableCalculations!C20</f>
        <v>0.61339189889419532</v>
      </c>
      <c r="D15" s="84">
        <f>TableCalculations!D20</f>
        <v>382356</v>
      </c>
      <c r="E15" s="97"/>
      <c r="F15" s="97"/>
      <c r="G15" s="97"/>
      <c r="H15" s="97"/>
      <c r="I15" s="85">
        <f t="shared" si="0"/>
        <v>0</v>
      </c>
      <c r="J15" s="86">
        <f t="shared" si="1"/>
        <v>0</v>
      </c>
    </row>
    <row r="16" spans="1:10" ht="16.5" thickTop="1" x14ac:dyDescent="0.25">
      <c r="A16" s="142" t="str">
        <f>TableCalculations!A21</f>
        <v>Housing Type and Transportation</v>
      </c>
      <c r="B16" s="72" t="str">
        <f>TableCalculations!B21</f>
        <v>Multi-unit Structure</v>
      </c>
      <c r="C16" s="73">
        <f>TableCalculations!C21</f>
        <v>3.1614184578915336E-2</v>
      </c>
      <c r="D16" s="74">
        <f>TableCalculations!D21</f>
        <v>19738</v>
      </c>
      <c r="E16" s="95"/>
      <c r="F16" s="95"/>
      <c r="G16" s="95"/>
      <c r="H16" s="95"/>
      <c r="I16" s="75">
        <f t="shared" si="0"/>
        <v>0</v>
      </c>
      <c r="J16" s="76">
        <f t="shared" si="1"/>
        <v>0</v>
      </c>
    </row>
    <row r="17" spans="1:10" ht="15.75" x14ac:dyDescent="0.25">
      <c r="A17" s="143"/>
      <c r="B17" s="77" t="str">
        <f>TableCalculations!B22</f>
        <v>Mobile Homes</v>
      </c>
      <c r="C17" s="78">
        <f>TableCalculations!C22</f>
        <v>3.463497453310696E-2</v>
      </c>
      <c r="D17" s="79">
        <f>TableCalculations!D22</f>
        <v>21624</v>
      </c>
      <c r="E17" s="96"/>
      <c r="F17" s="96"/>
      <c r="G17" s="96"/>
      <c r="H17" s="96"/>
      <c r="I17" s="80">
        <f t="shared" si="0"/>
        <v>0</v>
      </c>
      <c r="J17" s="81">
        <f t="shared" si="1"/>
        <v>0</v>
      </c>
    </row>
    <row r="18" spans="1:10" ht="15.75" x14ac:dyDescent="0.25">
      <c r="A18" s="143"/>
      <c r="B18" s="77" t="str">
        <f>TableCalculations!B23</f>
        <v>Crowding</v>
      </c>
      <c r="C18" s="78">
        <f>TableCalculations!C23</f>
        <v>6.6470192523304609E-3</v>
      </c>
      <c r="D18" s="79">
        <f>TableCalculations!D23</f>
        <v>4150</v>
      </c>
      <c r="E18" s="96"/>
      <c r="F18" s="96"/>
      <c r="G18" s="96"/>
      <c r="H18" s="96"/>
      <c r="I18" s="80">
        <f t="shared" si="0"/>
        <v>0</v>
      </c>
      <c r="J18" s="81">
        <f t="shared" si="1"/>
        <v>0</v>
      </c>
    </row>
    <row r="19" spans="1:10" ht="15.75" x14ac:dyDescent="0.25">
      <c r="A19" s="143"/>
      <c r="B19" s="77" t="str">
        <f>TableCalculations!B24</f>
        <v>No Vehicle</v>
      </c>
      <c r="C19" s="78">
        <f>TableCalculations!C24</f>
        <v>2.8253836050869719E-2</v>
      </c>
      <c r="D19" s="79">
        <f>TableCalculations!D24</f>
        <v>17640</v>
      </c>
      <c r="E19" s="96"/>
      <c r="F19" s="96"/>
      <c r="G19" s="96"/>
      <c r="H19" s="96"/>
      <c r="I19" s="80">
        <f t="shared" si="0"/>
        <v>0</v>
      </c>
      <c r="J19" s="81">
        <f t="shared" si="1"/>
        <v>0</v>
      </c>
    </row>
    <row r="20" spans="1:10" ht="16.5" thickBot="1" x14ac:dyDescent="0.3">
      <c r="A20" s="144"/>
      <c r="B20" s="82" t="str">
        <f>TableCalculations!B25</f>
        <v>Group Quarters</v>
      </c>
      <c r="C20" s="83">
        <f>TableCalculations!C25</f>
        <v>4.0804689752378512E-2</v>
      </c>
      <c r="D20" s="84">
        <f>TableCalculations!D25</f>
        <v>25476</v>
      </c>
      <c r="E20" s="97"/>
      <c r="F20" s="97"/>
      <c r="G20" s="97"/>
      <c r="H20" s="97"/>
      <c r="I20" s="85">
        <f t="shared" si="0"/>
        <v>0</v>
      </c>
      <c r="J20" s="86">
        <f t="shared" si="1"/>
        <v>0</v>
      </c>
    </row>
    <row r="21" spans="1:10" ht="16.5" thickTop="1" x14ac:dyDescent="0.25">
      <c r="A21" s="145" t="str">
        <f>TableCalculations!A26</f>
        <v>Racial &amp; Ethnic Minority Status</v>
      </c>
      <c r="B21" s="72" t="str">
        <f>TableCalculations!B26</f>
        <v>Black or African American</v>
      </c>
      <c r="C21" s="73">
        <f>TableCalculations!C26</f>
        <v>1.2006278630233527E-2</v>
      </c>
      <c r="D21" s="74">
        <f>TableCalculations!D26</f>
        <v>7496</v>
      </c>
      <c r="E21" s="95"/>
      <c r="F21" s="95"/>
      <c r="G21" s="95"/>
      <c r="H21" s="95"/>
      <c r="I21" s="75">
        <f t="shared" si="0"/>
        <v>0</v>
      </c>
      <c r="J21" s="76">
        <f t="shared" si="1"/>
        <v>0</v>
      </c>
    </row>
    <row r="22" spans="1:10" ht="15.75" x14ac:dyDescent="0.25">
      <c r="A22" s="146"/>
      <c r="B22" s="77" t="str">
        <f>TableCalculations!B27</f>
        <v>Hispanic or Latino (of any race)</v>
      </c>
      <c r="C22" s="78">
        <f>TableCalculations!C27</f>
        <v>2.0049972771246437E-2</v>
      </c>
      <c r="D22" s="79">
        <f>TableCalculations!D27</f>
        <v>12518</v>
      </c>
      <c r="E22" s="96"/>
      <c r="F22" s="96"/>
      <c r="G22" s="96"/>
      <c r="H22" s="96"/>
      <c r="I22" s="80">
        <f t="shared" si="0"/>
        <v>0</v>
      </c>
      <c r="J22" s="81">
        <f t="shared" si="1"/>
        <v>0</v>
      </c>
    </row>
    <row r="23" spans="1:10" ht="15.75" x14ac:dyDescent="0.25">
      <c r="A23" s="146"/>
      <c r="B23" s="77" t="str">
        <f>TableCalculations!B28</f>
        <v>Asian</v>
      </c>
      <c r="C23" s="78">
        <f>TableCalculations!C28</f>
        <v>1.608418489925361E-2</v>
      </c>
      <c r="D23" s="79">
        <f>TableCalculations!D28</f>
        <v>10042</v>
      </c>
      <c r="E23" s="96"/>
      <c r="F23" s="96"/>
      <c r="G23" s="96"/>
      <c r="H23" s="96"/>
      <c r="I23" s="80">
        <f t="shared" si="0"/>
        <v>0</v>
      </c>
      <c r="J23" s="81">
        <f t="shared" si="1"/>
        <v>0</v>
      </c>
    </row>
    <row r="24" spans="1:10" ht="15.75" x14ac:dyDescent="0.25">
      <c r="A24" s="146"/>
      <c r="B24" s="77" t="str">
        <f>TableCalculations!B29</f>
        <v>American Indian or Alaska Native</v>
      </c>
      <c r="C24" s="78">
        <f>TableCalculations!C29</f>
        <v>2.4634013518275298E-3</v>
      </c>
      <c r="D24" s="79">
        <f>TableCalculations!D29</f>
        <v>1538</v>
      </c>
      <c r="E24" s="96"/>
      <c r="F24" s="96"/>
      <c r="G24" s="96"/>
      <c r="H24" s="96"/>
      <c r="I24" s="80">
        <f t="shared" si="0"/>
        <v>0</v>
      </c>
      <c r="J24" s="81">
        <f t="shared" si="1"/>
        <v>0</v>
      </c>
    </row>
    <row r="25" spans="1:10" ht="15.75" x14ac:dyDescent="0.25">
      <c r="A25" s="146"/>
      <c r="B25" s="77" t="str">
        <f>TableCalculations!B30</f>
        <v>Native Hawaiian or Pacific Islander</v>
      </c>
      <c r="C25" s="78">
        <f>TableCalculations!C30</f>
        <v>3.075247461319153E-4</v>
      </c>
      <c r="D25" s="79">
        <f>TableCalculations!D30</f>
        <v>192</v>
      </c>
      <c r="E25" s="96"/>
      <c r="F25" s="96"/>
      <c r="G25" s="96"/>
      <c r="H25" s="96"/>
      <c r="I25" s="80">
        <f t="shared" si="0"/>
        <v>0</v>
      </c>
      <c r="J25" s="81">
        <f t="shared" si="1"/>
        <v>0</v>
      </c>
    </row>
    <row r="26" spans="1:10" ht="15.75" x14ac:dyDescent="0.25">
      <c r="A26" s="146"/>
      <c r="B26" s="77" t="str">
        <f>TableCalculations!B31</f>
        <v>Two or More Races</v>
      </c>
      <c r="C26" s="78">
        <f>TableCalculations!C31</f>
        <v>2.3994938655219913E-2</v>
      </c>
      <c r="D26" s="79">
        <f>TableCalculations!D31</f>
        <v>14981</v>
      </c>
      <c r="E26" s="96"/>
      <c r="F26" s="96"/>
      <c r="G26" s="96"/>
      <c r="H26" s="96"/>
      <c r="I26" s="80">
        <f t="shared" si="0"/>
        <v>0</v>
      </c>
      <c r="J26" s="81">
        <f t="shared" si="1"/>
        <v>0</v>
      </c>
    </row>
    <row r="27" spans="1:10" ht="16.5" thickBot="1" x14ac:dyDescent="0.3">
      <c r="A27" s="147"/>
      <c r="B27" s="82" t="str">
        <f>TableCalculations!B32</f>
        <v>Other Races</v>
      </c>
      <c r="C27" s="83">
        <f>TableCalculations!C32</f>
        <v>1.5568440272928212E-3</v>
      </c>
      <c r="D27" s="84">
        <f>TableCalculations!D32</f>
        <v>972</v>
      </c>
      <c r="E27" s="97"/>
      <c r="F27" s="97"/>
      <c r="G27" s="97"/>
      <c r="H27" s="97"/>
      <c r="I27" s="85">
        <f t="shared" si="0"/>
        <v>0</v>
      </c>
      <c r="J27" s="86">
        <f t="shared" si="1"/>
        <v>0</v>
      </c>
    </row>
    <row r="28" spans="1:10" ht="16.5" thickTop="1" x14ac:dyDescent="0.25">
      <c r="A28" s="135" t="str">
        <f>TableCalculations!A33</f>
        <v>Health Characteristics</v>
      </c>
      <c r="B28" s="57" t="str">
        <f>TableCalculations!B33</f>
        <v>Frequent Physical Distress</v>
      </c>
      <c r="C28" s="58">
        <f>TableCalculations!C33</f>
        <v>0.11107938275150117</v>
      </c>
      <c r="D28" s="59">
        <f>TableCalculations!D33</f>
        <v>69241</v>
      </c>
      <c r="E28" s="98"/>
      <c r="F28" s="98"/>
      <c r="G28" s="98"/>
      <c r="H28" s="98"/>
      <c r="I28" s="60">
        <f t="shared" si="0"/>
        <v>0</v>
      </c>
      <c r="J28" s="61">
        <f t="shared" si="1"/>
        <v>0</v>
      </c>
    </row>
    <row r="29" spans="1:10" ht="15.75" x14ac:dyDescent="0.25">
      <c r="A29" s="136"/>
      <c r="B29" s="62" t="str">
        <f>TableCalculations!B34</f>
        <v>Frequent Mental Distress</v>
      </c>
      <c r="C29" s="63">
        <f>TableCalculations!C34</f>
        <v>0.14053809515406346</v>
      </c>
      <c r="D29" s="64">
        <f>TableCalculations!D34</f>
        <v>87604</v>
      </c>
      <c r="E29" s="99"/>
      <c r="F29" s="99"/>
      <c r="G29" s="99"/>
      <c r="H29" s="99"/>
      <c r="I29" s="65">
        <f t="shared" si="0"/>
        <v>0</v>
      </c>
      <c r="J29" s="66">
        <f t="shared" si="1"/>
        <v>0</v>
      </c>
    </row>
    <row r="30" spans="1:10" ht="15.75" x14ac:dyDescent="0.25">
      <c r="A30" s="136"/>
      <c r="B30" s="62" t="str">
        <f>TableCalculations!B35</f>
        <v>Adults with Diabetes</v>
      </c>
      <c r="C30" s="63">
        <f>TableCalculations!C35</f>
        <v>7.1231593318007463E-2</v>
      </c>
      <c r="D30" s="64">
        <f>TableCalculations!D35</f>
        <v>44402</v>
      </c>
      <c r="E30" s="99"/>
      <c r="F30" s="99"/>
      <c r="G30" s="99"/>
      <c r="H30" s="99"/>
      <c r="I30" s="65">
        <f t="shared" si="0"/>
        <v>0</v>
      </c>
      <c r="J30" s="66">
        <f t="shared" si="1"/>
        <v>0</v>
      </c>
    </row>
    <row r="31" spans="1:10" ht="15.75" x14ac:dyDescent="0.25">
      <c r="A31" s="136"/>
      <c r="B31" s="62" t="str">
        <f>TableCalculations!B36</f>
        <v>Persons living with HIV</v>
      </c>
      <c r="C31" s="63">
        <f>TableCalculations!C36</f>
        <v>2.5026189265369049E-4</v>
      </c>
      <c r="D31" s="64">
        <f>TableCalculations!D36</f>
        <v>156</v>
      </c>
      <c r="E31" s="99"/>
      <c r="F31" s="99"/>
      <c r="G31" s="99"/>
      <c r="H31" s="99"/>
      <c r="I31" s="65">
        <f t="shared" si="0"/>
        <v>0</v>
      </c>
      <c r="J31" s="66">
        <f t="shared" si="1"/>
        <v>0</v>
      </c>
    </row>
    <row r="32" spans="1:10" ht="15.75" x14ac:dyDescent="0.25">
      <c r="A32" s="136"/>
      <c r="B32" s="62" t="str">
        <f>TableCalculations!B37</f>
        <v>Food Insecure</v>
      </c>
      <c r="C32" s="63">
        <f>TableCalculations!C37</f>
        <v>0.10352179444194004</v>
      </c>
      <c r="D32" s="64">
        <f>TableCalculations!D37</f>
        <v>64530</v>
      </c>
      <c r="E32" s="99"/>
      <c r="F32" s="99"/>
      <c r="G32" s="99"/>
      <c r="H32" s="99"/>
      <c r="I32" s="65">
        <f t="shared" si="0"/>
        <v>0</v>
      </c>
      <c r="J32" s="66">
        <f t="shared" si="1"/>
        <v>0</v>
      </c>
    </row>
    <row r="33" spans="1:10" ht="15.75" x14ac:dyDescent="0.25">
      <c r="A33" s="136"/>
      <c r="B33" s="62" t="str">
        <f>TableCalculations!B38</f>
        <v>Limited Access to Healthy Food</v>
      </c>
      <c r="C33" s="63">
        <f>TableCalculations!C38</f>
        <v>2.9855678261910299E-2</v>
      </c>
      <c r="D33" s="64">
        <f>TableCalculations!D38</f>
        <v>18610.447477526999</v>
      </c>
      <c r="E33" s="99"/>
      <c r="F33" s="99"/>
      <c r="G33" s="99"/>
      <c r="H33" s="99"/>
      <c r="I33" s="65">
        <f t="shared" si="0"/>
        <v>0</v>
      </c>
      <c r="J33" s="66">
        <f t="shared" si="1"/>
        <v>0</v>
      </c>
    </row>
    <row r="34" spans="1:10" ht="15.75" x14ac:dyDescent="0.25">
      <c r="A34" s="136"/>
      <c r="B34" s="62" t="str">
        <f>TableCalculations!B39</f>
        <v>Drug Overdose Deaths</v>
      </c>
      <c r="C34" s="63">
        <f>TableCalculations!C39</f>
        <v>7.5238992086269763E-4</v>
      </c>
      <c r="D34" s="64">
        <f>TableCalculations!D39</f>
        <v>469</v>
      </c>
      <c r="E34" s="99"/>
      <c r="F34" s="99"/>
      <c r="G34" s="99"/>
      <c r="H34" s="99"/>
      <c r="I34" s="65">
        <f t="shared" si="0"/>
        <v>0</v>
      </c>
      <c r="J34" s="66">
        <f t="shared" si="1"/>
        <v>0</v>
      </c>
    </row>
    <row r="35" spans="1:10" ht="15.75" x14ac:dyDescent="0.25">
      <c r="A35" s="136"/>
      <c r="B35" s="62" t="str">
        <f>TableCalculations!B40</f>
        <v>Insufficient Sleep</v>
      </c>
      <c r="C35" s="63">
        <f>TableCalculations!C40</f>
        <v>0.31374820124264657</v>
      </c>
      <c r="D35" s="64">
        <f>TableCalculations!D40</f>
        <v>195574</v>
      </c>
      <c r="E35" s="99"/>
      <c r="F35" s="99"/>
      <c r="G35" s="99"/>
      <c r="H35" s="99"/>
      <c r="I35" s="65">
        <f t="shared" si="0"/>
        <v>0</v>
      </c>
      <c r="J35" s="66">
        <f t="shared" si="1"/>
        <v>0</v>
      </c>
    </row>
    <row r="36" spans="1:10" ht="15.75" x14ac:dyDescent="0.25">
      <c r="A36" s="136"/>
      <c r="B36" s="62" t="str">
        <f>TableCalculations!B41</f>
        <v>Uninsured Adults</v>
      </c>
      <c r="C36" s="63">
        <f>TableCalculations!C41</f>
        <v>4.034670897589946E-2</v>
      </c>
      <c r="D36" s="64">
        <f>TableCalculations!D41</f>
        <v>25150</v>
      </c>
      <c r="E36" s="99"/>
      <c r="F36" s="99"/>
      <c r="G36" s="99"/>
      <c r="H36" s="99"/>
      <c r="I36" s="65">
        <f t="shared" si="0"/>
        <v>0</v>
      </c>
      <c r="J36" s="66">
        <f t="shared" si="1"/>
        <v>0</v>
      </c>
    </row>
    <row r="37" spans="1:10" ht="15.75" x14ac:dyDescent="0.25">
      <c r="A37" s="136"/>
      <c r="B37" s="62" t="str">
        <f>TableCalculations!B42</f>
        <v>Uninsured Children</v>
      </c>
      <c r="C37" s="63">
        <f>TableCalculations!C42</f>
        <v>3.526125897774434E-3</v>
      </c>
      <c r="D37" s="64">
        <f>TableCalculations!D42</f>
        <v>2198</v>
      </c>
      <c r="E37" s="99"/>
      <c r="F37" s="99"/>
      <c r="G37" s="99"/>
      <c r="H37" s="99"/>
      <c r="I37" s="65">
        <f t="shared" si="0"/>
        <v>0</v>
      </c>
      <c r="J37" s="66">
        <f t="shared" si="1"/>
        <v>0</v>
      </c>
    </row>
    <row r="38" spans="1:10" ht="15.75" x14ac:dyDescent="0.25">
      <c r="A38" s="136"/>
      <c r="B38" s="62" t="str">
        <f>TableCalculations!B43</f>
        <v>Suicide Deaths</v>
      </c>
      <c r="C38" s="63">
        <f>TableCalculations!C43</f>
        <v>9.0479299651718861E-4</v>
      </c>
      <c r="D38" s="64">
        <f>TableCalculations!D43</f>
        <v>564</v>
      </c>
      <c r="E38" s="99"/>
      <c r="F38" s="99"/>
      <c r="G38" s="99"/>
      <c r="H38" s="99"/>
      <c r="I38" s="65">
        <f t="shared" si="0"/>
        <v>0</v>
      </c>
      <c r="J38" s="66">
        <f t="shared" si="1"/>
        <v>0</v>
      </c>
    </row>
    <row r="39" spans="1:10" ht="16.5" thickBot="1" x14ac:dyDescent="0.3">
      <c r="A39" s="137"/>
      <c r="B39" s="67" t="str">
        <f>TableCalculations!B44</f>
        <v>Firearm Deaths</v>
      </c>
      <c r="C39" s="68">
        <f>TableCalculations!C44</f>
        <v>5.7913168748706574E-4</v>
      </c>
      <c r="D39" s="69">
        <f>TableCalculations!D44</f>
        <v>361</v>
      </c>
      <c r="E39" s="100"/>
      <c r="F39" s="100"/>
      <c r="G39" s="100"/>
      <c r="H39" s="100"/>
      <c r="I39" s="70">
        <f t="shared" si="0"/>
        <v>0</v>
      </c>
      <c r="J39" s="71">
        <f t="shared" si="1"/>
        <v>0</v>
      </c>
    </row>
    <row r="40" spans="1:10" ht="15.75" thickTop="1" x14ac:dyDescent="0.25"/>
  </sheetData>
  <sheetProtection sheet="1" objects="1" scenarios="1"/>
  <mergeCells count="17">
    <mergeCell ref="A1:J1"/>
    <mergeCell ref="C2:D2"/>
    <mergeCell ref="E2:F2"/>
    <mergeCell ref="G2:H2"/>
    <mergeCell ref="I2:J2"/>
    <mergeCell ref="A28:A39"/>
    <mergeCell ref="I3:I5"/>
    <mergeCell ref="J3:J5"/>
    <mergeCell ref="A6:A9"/>
    <mergeCell ref="A10:A15"/>
    <mergeCell ref="A16:A20"/>
    <mergeCell ref="A21:A27"/>
    <mergeCell ref="A3:B5"/>
    <mergeCell ref="C3:C5"/>
    <mergeCell ref="D3:D5"/>
    <mergeCell ref="E3:E4"/>
    <mergeCell ref="F3:H3"/>
  </mergeCells>
  <conditionalFormatting sqref="J6:J39">
    <cfRule type="top10" dxfId="5" priority="1" rank="5"/>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229119A-A618-47ED-912C-D8311CA57B51}">
          <x14:formula1>
            <xm:f>TableCalculations!$A$2:$A$6</xm:f>
          </x14:formula1>
          <xm:sqref>E6:E39</xm:sqref>
        </x14:dataValidation>
        <x14:dataValidation type="list" allowBlank="1" showInputMessage="1" showErrorMessage="1" xr:uid="{A509AB07-A422-4A8E-92DE-67CEED38F83D}">
          <x14:formula1>
            <xm:f>TableCalculations!$B$2:$B$6</xm:f>
          </x14:formula1>
          <xm:sqref>F6:F39</xm:sqref>
        </x14:dataValidation>
        <x14:dataValidation type="list" allowBlank="1" showInputMessage="1" showErrorMessage="1" xr:uid="{82831E97-FAC0-40D5-AC95-E1CDCF9C50B7}">
          <x14:formula1>
            <xm:f>TableCalculations!$C$2:$C$6</xm:f>
          </x14:formula1>
          <xm:sqref>G6:G39</xm:sqref>
        </x14:dataValidation>
        <x14:dataValidation type="list" allowBlank="1" showInputMessage="1" showErrorMessage="1" xr:uid="{75F9A52B-558E-4BA2-8ABA-D8E27607950B}">
          <x14:formula1>
            <xm:f>TableCalculations!$D$2:$D$6</xm:f>
          </x14:formula1>
          <xm:sqref>H6:H39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2476E-CAA8-48A1-ACA0-B8C5E2660772}">
  <sheetPr codeName="Sheet7"/>
  <dimension ref="A1:J40"/>
  <sheetViews>
    <sheetView workbookViewId="0">
      <selection sqref="A1:J1"/>
    </sheetView>
  </sheetViews>
  <sheetFormatPr defaultRowHeight="15" x14ac:dyDescent="0.25"/>
  <cols>
    <col min="1" max="1" width="19.5703125" customWidth="1"/>
    <col min="2" max="2" width="35.5703125" customWidth="1"/>
    <col min="3" max="4" width="19.5703125" customWidth="1"/>
    <col min="5" max="8" width="22.28515625" customWidth="1"/>
    <col min="9" max="10" width="13.5703125" customWidth="1"/>
  </cols>
  <sheetData>
    <row r="1" spans="1:10" ht="18.75" x14ac:dyDescent="0.25">
      <c r="A1" s="154" t="s">
        <v>546</v>
      </c>
      <c r="B1" s="154"/>
      <c r="C1" s="154"/>
      <c r="D1" s="154"/>
      <c r="E1" s="154"/>
      <c r="F1" s="154"/>
      <c r="G1" s="154"/>
      <c r="H1" s="154"/>
      <c r="I1" s="154"/>
      <c r="J1" s="155"/>
    </row>
    <row r="2" spans="1:10" ht="18.75" x14ac:dyDescent="0.25">
      <c r="A2" s="47" t="s">
        <v>547</v>
      </c>
      <c r="B2" s="48" t="str">
        <f>InputHazards!A6</f>
        <v>Hazard 4</v>
      </c>
      <c r="C2" s="156" t="s">
        <v>611</v>
      </c>
      <c r="D2" s="156"/>
      <c r="E2" s="157">
        <f>InputHazards!B6</f>
        <v>0</v>
      </c>
      <c r="F2" s="158"/>
      <c r="G2" s="156" t="s">
        <v>548</v>
      </c>
      <c r="H2" s="156"/>
      <c r="I2" s="159">
        <f>GETPIVOTDATA("Sum of E_TOTPOP",InputCounties!$A$3)</f>
        <v>624340</v>
      </c>
      <c r="J2" s="159"/>
    </row>
    <row r="3" spans="1:10" ht="15.6" customHeight="1" x14ac:dyDescent="0.25">
      <c r="A3" s="148" t="s">
        <v>549</v>
      </c>
      <c r="B3" s="149"/>
      <c r="C3" s="140" t="s">
        <v>550</v>
      </c>
      <c r="D3" s="140" t="s">
        <v>551</v>
      </c>
      <c r="E3" s="152" t="s">
        <v>552</v>
      </c>
      <c r="F3" s="153" t="s">
        <v>553</v>
      </c>
      <c r="G3" s="153"/>
      <c r="H3" s="153"/>
      <c r="I3" s="138" t="s">
        <v>554</v>
      </c>
      <c r="J3" s="140" t="s">
        <v>555</v>
      </c>
    </row>
    <row r="4" spans="1:10" ht="31.5" x14ac:dyDescent="0.25">
      <c r="A4" s="150"/>
      <c r="B4" s="151"/>
      <c r="C4" s="141"/>
      <c r="D4" s="141"/>
      <c r="E4" s="152"/>
      <c r="F4" s="2" t="s">
        <v>556</v>
      </c>
      <c r="G4" s="2" t="s">
        <v>557</v>
      </c>
      <c r="H4" s="2" t="s">
        <v>558</v>
      </c>
      <c r="I4" s="139"/>
      <c r="J4" s="141"/>
    </row>
    <row r="5" spans="1:10" ht="81.75" customHeight="1" thickBot="1" x14ac:dyDescent="0.3">
      <c r="A5" s="150"/>
      <c r="B5" s="151"/>
      <c r="C5" s="141"/>
      <c r="D5" s="141"/>
      <c r="E5" s="51" t="s">
        <v>559</v>
      </c>
      <c r="F5" s="51" t="s">
        <v>560</v>
      </c>
      <c r="G5" s="51" t="s">
        <v>561</v>
      </c>
      <c r="H5" s="51" t="s">
        <v>562</v>
      </c>
      <c r="I5" s="139"/>
      <c r="J5" s="141"/>
    </row>
    <row r="6" spans="1:10" ht="16.5" thickTop="1" x14ac:dyDescent="0.25">
      <c r="A6" s="142" t="str">
        <f>TableCalculations!A11</f>
        <v>Socioeconomic Status</v>
      </c>
      <c r="B6" s="72" t="str">
        <f>TableCalculations!B11</f>
        <v>Below 150% Poverty</v>
      </c>
      <c r="C6" s="73">
        <f>TableCalculations!C11</f>
        <v>0.17488547906589358</v>
      </c>
      <c r="D6" s="74">
        <f>TableCalculations!D11</f>
        <v>109188</v>
      </c>
      <c r="E6" s="95"/>
      <c r="F6" s="95"/>
      <c r="G6" s="95"/>
      <c r="H6" s="95"/>
      <c r="I6" s="75">
        <f>((IF(E6="No Impact",0%,IF(E6="Low Impact",25%,IF(E6="Moderate Impact",50%,IF(E6="High Impact",75%,IF(E6="Very High Impact",100%,)))))))*(1-AVERAGE((IF(F6="Not At All Confident",0%,IF(F6="Slightly Confidence",25%,IF(F6="Somewhat Confident",50%,IF(F6="Fairly Confident",75%,IF(F6="Completely Confident",100%,)))))),(IF(G6="Completely Responsible",0%,IF(G6="Fairly Responsible",25%,IF(G6="Somewhat Responsible",50%,IF(G6="Slightly Responsible",75%,IF(G6="Not At All Responsible",100%,)))))),(IF(H6="Not At All Confident",0%,IF(H6="Slightly Confident",25%,IF(H6="Somewhat Confident",50%,IF(H6="Fairly Confident",75%,IF(H6="Completely Confident",100%,))))))))</f>
        <v>0</v>
      </c>
      <c r="J6" s="76">
        <f>$E$2*C6*I6</f>
        <v>0</v>
      </c>
    </row>
    <row r="7" spans="1:10" ht="15.75" x14ac:dyDescent="0.25">
      <c r="A7" s="143"/>
      <c r="B7" s="77" t="str">
        <f>TableCalculations!B12</f>
        <v>Unemployed</v>
      </c>
      <c r="C7" s="78">
        <f>TableCalculations!C12</f>
        <v>2.0573725854502355E-2</v>
      </c>
      <c r="D7" s="79">
        <f>TableCalculations!D12</f>
        <v>12845</v>
      </c>
      <c r="E7" s="96"/>
      <c r="F7" s="96"/>
      <c r="G7" s="96"/>
      <c r="H7" s="96"/>
      <c r="I7" s="80">
        <f t="shared" ref="I7:I39" si="0">((IF(E7="No Impact",0%,IF(E7="Low Impact",25%,IF(E7="Moderate Impact",50%,IF(E7="High Impact",75%,IF(E7="Very High Impact",100%,)))))))*(1-AVERAGE((IF(F7="Not At All Confident",0%,IF(F7="Slightly Confidence",25%,IF(F7="Somewhat Confident",50%,IF(F7="Fairly Confident",75%,IF(F7="Completely Confident",100%,)))))),(IF(G7="Completely Responsible",0%,IF(G7="Fairly Responsible",25%,IF(G7="Somewhat Responsible",50%,IF(G7="Slightly Responsible",75%,IF(G7="Not At All Responsible",100%,)))))),(IF(H7="Not At All Confident",0%,IF(H7="Slightly Confident",25%,IF(H7="Somewhat Confident",50%,IF(H7="Fairly Confident",75%,IF(H7="Completely Confident",100%,))))))))</f>
        <v>0</v>
      </c>
      <c r="J7" s="81">
        <f t="shared" ref="J7:J39" si="1">$E$2*C7*I7</f>
        <v>0</v>
      </c>
    </row>
    <row r="8" spans="1:10" ht="15.75" x14ac:dyDescent="0.25">
      <c r="A8" s="143"/>
      <c r="B8" s="77" t="str">
        <f>TableCalculations!B13</f>
        <v>Housing Cost Burden</v>
      </c>
      <c r="C8" s="78">
        <f>TableCalculations!C13</f>
        <v>0.12306435595989365</v>
      </c>
      <c r="D8" s="79">
        <f>TableCalculations!D13</f>
        <v>76834</v>
      </c>
      <c r="E8" s="96"/>
      <c r="F8" s="96"/>
      <c r="G8" s="96"/>
      <c r="H8" s="96"/>
      <c r="I8" s="80">
        <f t="shared" si="0"/>
        <v>0</v>
      </c>
      <c r="J8" s="81">
        <f t="shared" si="1"/>
        <v>0</v>
      </c>
    </row>
    <row r="9" spans="1:10" ht="16.5" thickBot="1" x14ac:dyDescent="0.3">
      <c r="A9" s="144"/>
      <c r="B9" s="82" t="str">
        <f>TableCalculations!B14</f>
        <v>No High School Diploma</v>
      </c>
      <c r="C9" s="83">
        <f>TableCalculations!C14</f>
        <v>4.6059839190184838E-2</v>
      </c>
      <c r="D9" s="84">
        <f>TableCalculations!D14</f>
        <v>28757</v>
      </c>
      <c r="E9" s="97"/>
      <c r="F9" s="97"/>
      <c r="G9" s="97"/>
      <c r="H9" s="97"/>
      <c r="I9" s="85">
        <f t="shared" si="0"/>
        <v>0</v>
      </c>
      <c r="J9" s="86">
        <f t="shared" si="1"/>
        <v>0</v>
      </c>
    </row>
    <row r="10" spans="1:10" ht="16.5" thickTop="1" x14ac:dyDescent="0.25">
      <c r="A10" s="145" t="str">
        <f>TableCalculations!A15</f>
        <v>Household Characteristics</v>
      </c>
      <c r="B10" s="72" t="str">
        <f>TableCalculations!B15</f>
        <v>65 &amp; Older</v>
      </c>
      <c r="C10" s="73">
        <f>TableCalculations!C15</f>
        <v>0.19359964122112952</v>
      </c>
      <c r="D10" s="74">
        <f>TableCalculations!D15</f>
        <v>120872</v>
      </c>
      <c r="E10" s="95"/>
      <c r="F10" s="95"/>
      <c r="G10" s="95"/>
      <c r="H10" s="95"/>
      <c r="I10" s="75">
        <f t="shared" si="0"/>
        <v>0</v>
      </c>
      <c r="J10" s="76">
        <f t="shared" si="1"/>
        <v>0</v>
      </c>
    </row>
    <row r="11" spans="1:10" ht="15.75" x14ac:dyDescent="0.25">
      <c r="A11" s="146"/>
      <c r="B11" s="77" t="str">
        <f>TableCalculations!B16</f>
        <v>17 &amp; Younger</v>
      </c>
      <c r="C11" s="78">
        <f>TableCalculations!C16</f>
        <v>0.18520677835794599</v>
      </c>
      <c r="D11" s="79">
        <f>TableCalculations!D16</f>
        <v>115632</v>
      </c>
      <c r="E11" s="96"/>
      <c r="F11" s="96"/>
      <c r="G11" s="96"/>
      <c r="H11" s="96"/>
      <c r="I11" s="80">
        <f t="shared" si="0"/>
        <v>0</v>
      </c>
      <c r="J11" s="81">
        <f t="shared" si="1"/>
        <v>0</v>
      </c>
    </row>
    <row r="12" spans="1:10" ht="15.75" x14ac:dyDescent="0.25">
      <c r="A12" s="146"/>
      <c r="B12" s="77" t="str">
        <f>TableCalculations!B17</f>
        <v>Civilian with a disability</v>
      </c>
      <c r="C12" s="78">
        <f>TableCalculations!C17</f>
        <v>0.14065893583624306</v>
      </c>
      <c r="D12" s="79">
        <f>TableCalculations!D17</f>
        <v>87819</v>
      </c>
      <c r="E12" s="96"/>
      <c r="F12" s="96"/>
      <c r="G12" s="96"/>
      <c r="H12" s="96"/>
      <c r="I12" s="80">
        <f t="shared" si="0"/>
        <v>0</v>
      </c>
      <c r="J12" s="81">
        <f t="shared" si="1"/>
        <v>0</v>
      </c>
    </row>
    <row r="13" spans="1:10" ht="15.75" x14ac:dyDescent="0.25">
      <c r="A13" s="146"/>
      <c r="B13" s="77" t="str">
        <f>TableCalculations!B18</f>
        <v>Single parent households</v>
      </c>
      <c r="C13" s="78">
        <f>TableCalculations!C18</f>
        <v>2.0464810840247302E-2</v>
      </c>
      <c r="D13" s="79">
        <f>TableCalculations!D18</f>
        <v>12777</v>
      </c>
      <c r="E13" s="96"/>
      <c r="F13" s="96"/>
      <c r="G13" s="96"/>
      <c r="H13" s="96"/>
      <c r="I13" s="80">
        <f t="shared" si="0"/>
        <v>0</v>
      </c>
      <c r="J13" s="81">
        <f t="shared" si="1"/>
        <v>0</v>
      </c>
    </row>
    <row r="14" spans="1:10" ht="15.75" x14ac:dyDescent="0.25">
      <c r="A14" s="146"/>
      <c r="B14" s="77" t="str">
        <f>TableCalculations!B19</f>
        <v>Limited English Proficiency</v>
      </c>
      <c r="C14" s="78">
        <f>TableCalculations!C19</f>
        <v>5.7949194349232788E-3</v>
      </c>
      <c r="D14" s="79">
        <f>TableCalculations!D19</f>
        <v>3618</v>
      </c>
      <c r="E14" s="96"/>
      <c r="F14" s="96"/>
      <c r="G14" s="96"/>
      <c r="H14" s="96"/>
      <c r="I14" s="80">
        <f t="shared" si="0"/>
        <v>0</v>
      </c>
      <c r="J14" s="81">
        <f t="shared" si="1"/>
        <v>0</v>
      </c>
    </row>
    <row r="15" spans="1:10" ht="16.5" thickBot="1" x14ac:dyDescent="0.3">
      <c r="A15" s="147"/>
      <c r="B15" s="82" t="str">
        <f>TableCalculations!B20</f>
        <v>Rural Residents</v>
      </c>
      <c r="C15" s="83">
        <f>TableCalculations!C20</f>
        <v>0.61339189889419532</v>
      </c>
      <c r="D15" s="84">
        <f>TableCalculations!D20</f>
        <v>382356</v>
      </c>
      <c r="E15" s="97"/>
      <c r="F15" s="97"/>
      <c r="G15" s="97"/>
      <c r="H15" s="97"/>
      <c r="I15" s="85">
        <f t="shared" si="0"/>
        <v>0</v>
      </c>
      <c r="J15" s="86">
        <f t="shared" si="1"/>
        <v>0</v>
      </c>
    </row>
    <row r="16" spans="1:10" ht="16.5" thickTop="1" x14ac:dyDescent="0.25">
      <c r="A16" s="142" t="str">
        <f>TableCalculations!A21</f>
        <v>Housing Type and Transportation</v>
      </c>
      <c r="B16" s="72" t="str">
        <f>TableCalculations!B21</f>
        <v>Multi-unit Structure</v>
      </c>
      <c r="C16" s="73">
        <f>TableCalculations!C21</f>
        <v>3.1614184578915336E-2</v>
      </c>
      <c r="D16" s="74">
        <f>TableCalculations!D21</f>
        <v>19738</v>
      </c>
      <c r="E16" s="95"/>
      <c r="F16" s="95"/>
      <c r="G16" s="95"/>
      <c r="H16" s="95"/>
      <c r="I16" s="75">
        <f t="shared" si="0"/>
        <v>0</v>
      </c>
      <c r="J16" s="76">
        <f t="shared" si="1"/>
        <v>0</v>
      </c>
    </row>
    <row r="17" spans="1:10" ht="15.75" x14ac:dyDescent="0.25">
      <c r="A17" s="143"/>
      <c r="B17" s="77" t="str">
        <f>TableCalculations!B22</f>
        <v>Mobile Homes</v>
      </c>
      <c r="C17" s="78">
        <f>TableCalculations!C22</f>
        <v>3.463497453310696E-2</v>
      </c>
      <c r="D17" s="79">
        <f>TableCalculations!D22</f>
        <v>21624</v>
      </c>
      <c r="E17" s="96"/>
      <c r="F17" s="96"/>
      <c r="G17" s="96"/>
      <c r="H17" s="96"/>
      <c r="I17" s="80">
        <f t="shared" si="0"/>
        <v>0</v>
      </c>
      <c r="J17" s="81">
        <f t="shared" si="1"/>
        <v>0</v>
      </c>
    </row>
    <row r="18" spans="1:10" ht="15.75" x14ac:dyDescent="0.25">
      <c r="A18" s="143"/>
      <c r="B18" s="77" t="str">
        <f>TableCalculations!B23</f>
        <v>Crowding</v>
      </c>
      <c r="C18" s="78">
        <f>TableCalculations!C23</f>
        <v>6.6470192523304609E-3</v>
      </c>
      <c r="D18" s="79">
        <f>TableCalculations!D23</f>
        <v>4150</v>
      </c>
      <c r="E18" s="96"/>
      <c r="F18" s="96"/>
      <c r="G18" s="96"/>
      <c r="H18" s="96"/>
      <c r="I18" s="80">
        <f t="shared" si="0"/>
        <v>0</v>
      </c>
      <c r="J18" s="81">
        <f t="shared" si="1"/>
        <v>0</v>
      </c>
    </row>
    <row r="19" spans="1:10" ht="15.75" x14ac:dyDescent="0.25">
      <c r="A19" s="143"/>
      <c r="B19" s="77" t="str">
        <f>TableCalculations!B24</f>
        <v>No Vehicle</v>
      </c>
      <c r="C19" s="78">
        <f>TableCalculations!C24</f>
        <v>2.8253836050869719E-2</v>
      </c>
      <c r="D19" s="79">
        <f>TableCalculations!D24</f>
        <v>17640</v>
      </c>
      <c r="E19" s="96"/>
      <c r="F19" s="96"/>
      <c r="G19" s="96"/>
      <c r="H19" s="96"/>
      <c r="I19" s="80">
        <f t="shared" si="0"/>
        <v>0</v>
      </c>
      <c r="J19" s="81">
        <f t="shared" si="1"/>
        <v>0</v>
      </c>
    </row>
    <row r="20" spans="1:10" ht="16.5" thickBot="1" x14ac:dyDescent="0.3">
      <c r="A20" s="144"/>
      <c r="B20" s="82" t="str">
        <f>TableCalculations!B25</f>
        <v>Group Quarters</v>
      </c>
      <c r="C20" s="83">
        <f>TableCalculations!C25</f>
        <v>4.0804689752378512E-2</v>
      </c>
      <c r="D20" s="84">
        <f>TableCalculations!D25</f>
        <v>25476</v>
      </c>
      <c r="E20" s="97"/>
      <c r="F20" s="97"/>
      <c r="G20" s="97"/>
      <c r="H20" s="97"/>
      <c r="I20" s="85">
        <f t="shared" si="0"/>
        <v>0</v>
      </c>
      <c r="J20" s="86">
        <f t="shared" si="1"/>
        <v>0</v>
      </c>
    </row>
    <row r="21" spans="1:10" ht="16.5" thickTop="1" x14ac:dyDescent="0.25">
      <c r="A21" s="145" t="str">
        <f>TableCalculations!A26</f>
        <v>Racial &amp; Ethnic Minority Status</v>
      </c>
      <c r="B21" s="72" t="str">
        <f>TableCalculations!B26</f>
        <v>Black or African American</v>
      </c>
      <c r="C21" s="73">
        <f>TableCalculations!C26</f>
        <v>1.2006278630233527E-2</v>
      </c>
      <c r="D21" s="74">
        <f>TableCalculations!D26</f>
        <v>7496</v>
      </c>
      <c r="E21" s="95"/>
      <c r="F21" s="95"/>
      <c r="G21" s="95"/>
      <c r="H21" s="95"/>
      <c r="I21" s="75">
        <f t="shared" si="0"/>
        <v>0</v>
      </c>
      <c r="J21" s="76">
        <f t="shared" si="1"/>
        <v>0</v>
      </c>
    </row>
    <row r="22" spans="1:10" ht="15.75" x14ac:dyDescent="0.25">
      <c r="A22" s="146"/>
      <c r="B22" s="77" t="str">
        <f>TableCalculations!B27</f>
        <v>Hispanic or Latino (of any race)</v>
      </c>
      <c r="C22" s="78">
        <f>TableCalculations!C27</f>
        <v>2.0049972771246437E-2</v>
      </c>
      <c r="D22" s="79">
        <f>TableCalculations!D27</f>
        <v>12518</v>
      </c>
      <c r="E22" s="96"/>
      <c r="F22" s="96"/>
      <c r="G22" s="96"/>
      <c r="H22" s="96"/>
      <c r="I22" s="80">
        <f t="shared" si="0"/>
        <v>0</v>
      </c>
      <c r="J22" s="81">
        <f t="shared" si="1"/>
        <v>0</v>
      </c>
    </row>
    <row r="23" spans="1:10" ht="15.75" x14ac:dyDescent="0.25">
      <c r="A23" s="146"/>
      <c r="B23" s="77" t="str">
        <f>TableCalculations!B28</f>
        <v>Asian</v>
      </c>
      <c r="C23" s="78">
        <f>TableCalculations!C28</f>
        <v>1.608418489925361E-2</v>
      </c>
      <c r="D23" s="79">
        <f>TableCalculations!D28</f>
        <v>10042</v>
      </c>
      <c r="E23" s="96"/>
      <c r="F23" s="96"/>
      <c r="G23" s="96"/>
      <c r="H23" s="96"/>
      <c r="I23" s="80">
        <f t="shared" si="0"/>
        <v>0</v>
      </c>
      <c r="J23" s="81">
        <f t="shared" si="1"/>
        <v>0</v>
      </c>
    </row>
    <row r="24" spans="1:10" ht="15.75" x14ac:dyDescent="0.25">
      <c r="A24" s="146"/>
      <c r="B24" s="77" t="str">
        <f>TableCalculations!B29</f>
        <v>American Indian or Alaska Native</v>
      </c>
      <c r="C24" s="78">
        <f>TableCalculations!C29</f>
        <v>2.4634013518275298E-3</v>
      </c>
      <c r="D24" s="79">
        <f>TableCalculations!D29</f>
        <v>1538</v>
      </c>
      <c r="E24" s="96"/>
      <c r="F24" s="96"/>
      <c r="G24" s="96"/>
      <c r="H24" s="96"/>
      <c r="I24" s="80">
        <f t="shared" si="0"/>
        <v>0</v>
      </c>
      <c r="J24" s="81">
        <f t="shared" si="1"/>
        <v>0</v>
      </c>
    </row>
    <row r="25" spans="1:10" ht="15.75" x14ac:dyDescent="0.25">
      <c r="A25" s="146"/>
      <c r="B25" s="77" t="str">
        <f>TableCalculations!B30</f>
        <v>Native Hawaiian or Pacific Islander</v>
      </c>
      <c r="C25" s="78">
        <f>TableCalculations!C30</f>
        <v>3.075247461319153E-4</v>
      </c>
      <c r="D25" s="79">
        <f>TableCalculations!D30</f>
        <v>192</v>
      </c>
      <c r="E25" s="96"/>
      <c r="F25" s="96"/>
      <c r="G25" s="96"/>
      <c r="H25" s="96"/>
      <c r="I25" s="80">
        <f t="shared" si="0"/>
        <v>0</v>
      </c>
      <c r="J25" s="81">
        <f t="shared" si="1"/>
        <v>0</v>
      </c>
    </row>
    <row r="26" spans="1:10" ht="15.75" x14ac:dyDescent="0.25">
      <c r="A26" s="146"/>
      <c r="B26" s="77" t="str">
        <f>TableCalculations!B31</f>
        <v>Two or More Races</v>
      </c>
      <c r="C26" s="78">
        <f>TableCalculations!C31</f>
        <v>2.3994938655219913E-2</v>
      </c>
      <c r="D26" s="79">
        <f>TableCalculations!D31</f>
        <v>14981</v>
      </c>
      <c r="E26" s="96"/>
      <c r="F26" s="96"/>
      <c r="G26" s="96"/>
      <c r="H26" s="96"/>
      <c r="I26" s="80">
        <f t="shared" si="0"/>
        <v>0</v>
      </c>
      <c r="J26" s="81">
        <f t="shared" si="1"/>
        <v>0</v>
      </c>
    </row>
    <row r="27" spans="1:10" ht="16.5" thickBot="1" x14ac:dyDescent="0.3">
      <c r="A27" s="147"/>
      <c r="B27" s="82" t="str">
        <f>TableCalculations!B32</f>
        <v>Other Races</v>
      </c>
      <c r="C27" s="83">
        <f>TableCalculations!C32</f>
        <v>1.5568440272928212E-3</v>
      </c>
      <c r="D27" s="84">
        <f>TableCalculations!D32</f>
        <v>972</v>
      </c>
      <c r="E27" s="97"/>
      <c r="F27" s="97"/>
      <c r="G27" s="97"/>
      <c r="H27" s="97"/>
      <c r="I27" s="85">
        <f t="shared" si="0"/>
        <v>0</v>
      </c>
      <c r="J27" s="86">
        <f t="shared" si="1"/>
        <v>0</v>
      </c>
    </row>
    <row r="28" spans="1:10" ht="16.5" thickTop="1" x14ac:dyDescent="0.25">
      <c r="A28" s="135" t="str">
        <f>TableCalculations!A33</f>
        <v>Health Characteristics</v>
      </c>
      <c r="B28" s="57" t="str">
        <f>TableCalculations!B33</f>
        <v>Frequent Physical Distress</v>
      </c>
      <c r="C28" s="58">
        <f>TableCalculations!C33</f>
        <v>0.11107938275150117</v>
      </c>
      <c r="D28" s="59">
        <f>TableCalculations!D33</f>
        <v>69241</v>
      </c>
      <c r="E28" s="98"/>
      <c r="F28" s="98"/>
      <c r="G28" s="98"/>
      <c r="H28" s="98"/>
      <c r="I28" s="60">
        <f t="shared" si="0"/>
        <v>0</v>
      </c>
      <c r="J28" s="61">
        <f t="shared" si="1"/>
        <v>0</v>
      </c>
    </row>
    <row r="29" spans="1:10" ht="15.75" x14ac:dyDescent="0.25">
      <c r="A29" s="136"/>
      <c r="B29" s="62" t="str">
        <f>TableCalculations!B34</f>
        <v>Frequent Mental Distress</v>
      </c>
      <c r="C29" s="63">
        <f>TableCalculations!C34</f>
        <v>0.14053809515406346</v>
      </c>
      <c r="D29" s="64">
        <f>TableCalculations!D34</f>
        <v>87604</v>
      </c>
      <c r="E29" s="99"/>
      <c r="F29" s="99"/>
      <c r="G29" s="99"/>
      <c r="H29" s="99"/>
      <c r="I29" s="65">
        <f t="shared" si="0"/>
        <v>0</v>
      </c>
      <c r="J29" s="66">
        <f t="shared" si="1"/>
        <v>0</v>
      </c>
    </row>
    <row r="30" spans="1:10" ht="15.75" x14ac:dyDescent="0.25">
      <c r="A30" s="136"/>
      <c r="B30" s="62" t="str">
        <f>TableCalculations!B35</f>
        <v>Adults with Diabetes</v>
      </c>
      <c r="C30" s="63">
        <f>TableCalculations!C35</f>
        <v>7.1231593318007463E-2</v>
      </c>
      <c r="D30" s="64">
        <f>TableCalculations!D35</f>
        <v>44402</v>
      </c>
      <c r="E30" s="99"/>
      <c r="F30" s="99"/>
      <c r="G30" s="99"/>
      <c r="H30" s="99"/>
      <c r="I30" s="65">
        <f t="shared" si="0"/>
        <v>0</v>
      </c>
      <c r="J30" s="66">
        <f t="shared" si="1"/>
        <v>0</v>
      </c>
    </row>
    <row r="31" spans="1:10" ht="15.75" x14ac:dyDescent="0.25">
      <c r="A31" s="136"/>
      <c r="B31" s="62" t="str">
        <f>TableCalculations!B36</f>
        <v>Persons living with HIV</v>
      </c>
      <c r="C31" s="63">
        <f>TableCalculations!C36</f>
        <v>2.5026189265369049E-4</v>
      </c>
      <c r="D31" s="64">
        <f>TableCalculations!D36</f>
        <v>156</v>
      </c>
      <c r="E31" s="99"/>
      <c r="F31" s="99"/>
      <c r="G31" s="99"/>
      <c r="H31" s="99"/>
      <c r="I31" s="65">
        <f t="shared" si="0"/>
        <v>0</v>
      </c>
      <c r="J31" s="66">
        <f t="shared" si="1"/>
        <v>0</v>
      </c>
    </row>
    <row r="32" spans="1:10" ht="15.75" x14ac:dyDescent="0.25">
      <c r="A32" s="136"/>
      <c r="B32" s="62" t="str">
        <f>TableCalculations!B37</f>
        <v>Food Insecure</v>
      </c>
      <c r="C32" s="63">
        <f>TableCalculations!C37</f>
        <v>0.10352179444194004</v>
      </c>
      <c r="D32" s="64">
        <f>TableCalculations!D37</f>
        <v>64530</v>
      </c>
      <c r="E32" s="99"/>
      <c r="F32" s="99"/>
      <c r="G32" s="99"/>
      <c r="H32" s="99"/>
      <c r="I32" s="65">
        <f t="shared" si="0"/>
        <v>0</v>
      </c>
      <c r="J32" s="66">
        <f t="shared" si="1"/>
        <v>0</v>
      </c>
    </row>
    <row r="33" spans="1:10" ht="15.75" x14ac:dyDescent="0.25">
      <c r="A33" s="136"/>
      <c r="B33" s="62" t="str">
        <f>TableCalculations!B38</f>
        <v>Limited Access to Healthy Food</v>
      </c>
      <c r="C33" s="63">
        <f>TableCalculations!C38</f>
        <v>2.9855678261910299E-2</v>
      </c>
      <c r="D33" s="64">
        <f>TableCalculations!D38</f>
        <v>18610.447477526999</v>
      </c>
      <c r="E33" s="99"/>
      <c r="F33" s="99"/>
      <c r="G33" s="99"/>
      <c r="H33" s="99"/>
      <c r="I33" s="65">
        <f t="shared" si="0"/>
        <v>0</v>
      </c>
      <c r="J33" s="66">
        <f t="shared" si="1"/>
        <v>0</v>
      </c>
    </row>
    <row r="34" spans="1:10" ht="15.75" x14ac:dyDescent="0.25">
      <c r="A34" s="136"/>
      <c r="B34" s="62" t="str">
        <f>TableCalculations!B39</f>
        <v>Drug Overdose Deaths</v>
      </c>
      <c r="C34" s="63">
        <f>TableCalculations!C39</f>
        <v>7.5238992086269763E-4</v>
      </c>
      <c r="D34" s="64">
        <f>TableCalculations!D39</f>
        <v>469</v>
      </c>
      <c r="E34" s="99"/>
      <c r="F34" s="99"/>
      <c r="G34" s="99"/>
      <c r="H34" s="99"/>
      <c r="I34" s="65">
        <f t="shared" si="0"/>
        <v>0</v>
      </c>
      <c r="J34" s="66">
        <f t="shared" si="1"/>
        <v>0</v>
      </c>
    </row>
    <row r="35" spans="1:10" ht="15.75" x14ac:dyDescent="0.25">
      <c r="A35" s="136"/>
      <c r="B35" s="62" t="str">
        <f>TableCalculations!B40</f>
        <v>Insufficient Sleep</v>
      </c>
      <c r="C35" s="63">
        <f>TableCalculations!C40</f>
        <v>0.31374820124264657</v>
      </c>
      <c r="D35" s="64">
        <f>TableCalculations!D40</f>
        <v>195574</v>
      </c>
      <c r="E35" s="99"/>
      <c r="F35" s="99"/>
      <c r="G35" s="99"/>
      <c r="H35" s="99"/>
      <c r="I35" s="65">
        <f t="shared" si="0"/>
        <v>0</v>
      </c>
      <c r="J35" s="66">
        <f t="shared" si="1"/>
        <v>0</v>
      </c>
    </row>
    <row r="36" spans="1:10" ht="15.75" x14ac:dyDescent="0.25">
      <c r="A36" s="136"/>
      <c r="B36" s="62" t="str">
        <f>TableCalculations!B41</f>
        <v>Uninsured Adults</v>
      </c>
      <c r="C36" s="63">
        <f>TableCalculations!C41</f>
        <v>4.034670897589946E-2</v>
      </c>
      <c r="D36" s="64">
        <f>TableCalculations!D41</f>
        <v>25150</v>
      </c>
      <c r="E36" s="99"/>
      <c r="F36" s="99"/>
      <c r="G36" s="99"/>
      <c r="H36" s="99"/>
      <c r="I36" s="65">
        <f t="shared" si="0"/>
        <v>0</v>
      </c>
      <c r="J36" s="66">
        <f t="shared" si="1"/>
        <v>0</v>
      </c>
    </row>
    <row r="37" spans="1:10" ht="15.75" x14ac:dyDescent="0.25">
      <c r="A37" s="136"/>
      <c r="B37" s="62" t="str">
        <f>TableCalculations!B42</f>
        <v>Uninsured Children</v>
      </c>
      <c r="C37" s="63">
        <f>TableCalculations!C42</f>
        <v>3.526125897774434E-3</v>
      </c>
      <c r="D37" s="64">
        <f>TableCalculations!D42</f>
        <v>2198</v>
      </c>
      <c r="E37" s="99"/>
      <c r="F37" s="99"/>
      <c r="G37" s="99"/>
      <c r="H37" s="99"/>
      <c r="I37" s="65">
        <f t="shared" si="0"/>
        <v>0</v>
      </c>
      <c r="J37" s="66">
        <f t="shared" si="1"/>
        <v>0</v>
      </c>
    </row>
    <row r="38" spans="1:10" ht="15.75" x14ac:dyDescent="0.25">
      <c r="A38" s="136"/>
      <c r="B38" s="62" t="str">
        <f>TableCalculations!B43</f>
        <v>Suicide Deaths</v>
      </c>
      <c r="C38" s="63">
        <f>TableCalculations!C43</f>
        <v>9.0479299651718861E-4</v>
      </c>
      <c r="D38" s="64">
        <f>TableCalculations!D43</f>
        <v>564</v>
      </c>
      <c r="E38" s="99"/>
      <c r="F38" s="99"/>
      <c r="G38" s="99"/>
      <c r="H38" s="99"/>
      <c r="I38" s="65">
        <f t="shared" si="0"/>
        <v>0</v>
      </c>
      <c r="J38" s="66">
        <f t="shared" si="1"/>
        <v>0</v>
      </c>
    </row>
    <row r="39" spans="1:10" ht="16.5" thickBot="1" x14ac:dyDescent="0.3">
      <c r="A39" s="137"/>
      <c r="B39" s="67" t="str">
        <f>TableCalculations!B44</f>
        <v>Firearm Deaths</v>
      </c>
      <c r="C39" s="68">
        <f>TableCalculations!C44</f>
        <v>5.7913168748706574E-4</v>
      </c>
      <c r="D39" s="69">
        <f>TableCalculations!D44</f>
        <v>361</v>
      </c>
      <c r="E39" s="100"/>
      <c r="F39" s="100"/>
      <c r="G39" s="100"/>
      <c r="H39" s="100"/>
      <c r="I39" s="70">
        <f t="shared" si="0"/>
        <v>0</v>
      </c>
      <c r="J39" s="71">
        <f t="shared" si="1"/>
        <v>0</v>
      </c>
    </row>
    <row r="40" spans="1:10" ht="15.75" thickTop="1" x14ac:dyDescent="0.25"/>
  </sheetData>
  <sheetProtection sheet="1" objects="1" scenarios="1"/>
  <mergeCells count="17">
    <mergeCell ref="A1:J1"/>
    <mergeCell ref="C2:D2"/>
    <mergeCell ref="E2:F2"/>
    <mergeCell ref="G2:H2"/>
    <mergeCell ref="I2:J2"/>
    <mergeCell ref="A28:A39"/>
    <mergeCell ref="I3:I5"/>
    <mergeCell ref="J3:J5"/>
    <mergeCell ref="A6:A9"/>
    <mergeCell ref="A10:A15"/>
    <mergeCell ref="A16:A20"/>
    <mergeCell ref="A21:A27"/>
    <mergeCell ref="A3:B5"/>
    <mergeCell ref="C3:C5"/>
    <mergeCell ref="D3:D5"/>
    <mergeCell ref="E3:E4"/>
    <mergeCell ref="F3:H3"/>
  </mergeCells>
  <conditionalFormatting sqref="J6:J39">
    <cfRule type="top10" dxfId="4" priority="1" rank="5"/>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8BA24B7-7CA2-4B1C-92B5-7A218005EC53}">
          <x14:formula1>
            <xm:f>TableCalculations!$D$2:$D$6</xm:f>
          </x14:formula1>
          <xm:sqref>H6:H39</xm:sqref>
        </x14:dataValidation>
        <x14:dataValidation type="list" allowBlank="1" showInputMessage="1" showErrorMessage="1" xr:uid="{C04DA679-5446-435D-A3C2-FBB89E242AE2}">
          <x14:formula1>
            <xm:f>TableCalculations!$C$2:$C$6</xm:f>
          </x14:formula1>
          <xm:sqref>G6:G39</xm:sqref>
        </x14:dataValidation>
        <x14:dataValidation type="list" allowBlank="1" showInputMessage="1" showErrorMessage="1" xr:uid="{02AB17EE-6D0A-41F6-81F4-3ABF4DF909B3}">
          <x14:formula1>
            <xm:f>TableCalculations!$B$2:$B$6</xm:f>
          </x14:formula1>
          <xm:sqref>F6:F39</xm:sqref>
        </x14:dataValidation>
        <x14:dataValidation type="list" allowBlank="1" showInputMessage="1" showErrorMessage="1" xr:uid="{A84AE2AC-0084-47FA-9E8B-27339CB15CEB}">
          <x14:formula1>
            <xm:f>TableCalculations!$A$2:$A$6</xm:f>
          </x14:formula1>
          <xm:sqref>E6:E39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D874E-24BF-4B4D-B1E4-6BE2A9F075FE}">
  <sheetPr codeName="Sheet8"/>
  <dimension ref="A1:J40"/>
  <sheetViews>
    <sheetView zoomScaleNormal="100" workbookViewId="0">
      <selection sqref="A1:J1"/>
    </sheetView>
  </sheetViews>
  <sheetFormatPr defaultRowHeight="15" x14ac:dyDescent="0.25"/>
  <cols>
    <col min="1" max="1" width="19.5703125" customWidth="1"/>
    <col min="2" max="2" width="35.5703125" customWidth="1"/>
    <col min="3" max="4" width="19.5703125" customWidth="1"/>
    <col min="5" max="8" width="22.28515625" customWidth="1"/>
    <col min="9" max="10" width="13.5703125" customWidth="1"/>
  </cols>
  <sheetData>
    <row r="1" spans="1:10" ht="18.75" x14ac:dyDescent="0.25">
      <c r="A1" s="154" t="s">
        <v>546</v>
      </c>
      <c r="B1" s="154"/>
      <c r="C1" s="154"/>
      <c r="D1" s="154"/>
      <c r="E1" s="154"/>
      <c r="F1" s="154"/>
      <c r="G1" s="154"/>
      <c r="H1" s="154"/>
      <c r="I1" s="154"/>
      <c r="J1" s="155"/>
    </row>
    <row r="2" spans="1:10" ht="18.75" x14ac:dyDescent="0.25">
      <c r="A2" s="47" t="s">
        <v>547</v>
      </c>
      <c r="B2" s="48" t="str">
        <f>InputHazards!A7</f>
        <v>Hazard 5</v>
      </c>
      <c r="C2" s="156" t="s">
        <v>611</v>
      </c>
      <c r="D2" s="156"/>
      <c r="E2" s="157">
        <f>InputHazards!B7</f>
        <v>0</v>
      </c>
      <c r="F2" s="158"/>
      <c r="G2" s="156" t="s">
        <v>548</v>
      </c>
      <c r="H2" s="156"/>
      <c r="I2" s="159">
        <f>GETPIVOTDATA("Sum of E_TOTPOP",InputCounties!$A$3)</f>
        <v>624340</v>
      </c>
      <c r="J2" s="159"/>
    </row>
    <row r="3" spans="1:10" ht="15.6" customHeight="1" x14ac:dyDescent="0.25">
      <c r="A3" s="148" t="s">
        <v>549</v>
      </c>
      <c r="B3" s="149"/>
      <c r="C3" s="140" t="s">
        <v>550</v>
      </c>
      <c r="D3" s="140" t="s">
        <v>551</v>
      </c>
      <c r="E3" s="152" t="s">
        <v>552</v>
      </c>
      <c r="F3" s="153" t="s">
        <v>553</v>
      </c>
      <c r="G3" s="153"/>
      <c r="H3" s="153"/>
      <c r="I3" s="138" t="s">
        <v>554</v>
      </c>
      <c r="J3" s="140" t="s">
        <v>555</v>
      </c>
    </row>
    <row r="4" spans="1:10" ht="31.5" x14ac:dyDescent="0.25">
      <c r="A4" s="150"/>
      <c r="B4" s="151"/>
      <c r="C4" s="141"/>
      <c r="D4" s="141"/>
      <c r="E4" s="152"/>
      <c r="F4" s="2" t="s">
        <v>556</v>
      </c>
      <c r="G4" s="2" t="s">
        <v>557</v>
      </c>
      <c r="H4" s="2" t="s">
        <v>558</v>
      </c>
      <c r="I4" s="139"/>
      <c r="J4" s="141"/>
    </row>
    <row r="5" spans="1:10" ht="81.75" customHeight="1" thickBot="1" x14ac:dyDescent="0.3">
      <c r="A5" s="150"/>
      <c r="B5" s="151"/>
      <c r="C5" s="141"/>
      <c r="D5" s="141"/>
      <c r="E5" s="51" t="s">
        <v>559</v>
      </c>
      <c r="F5" s="51" t="s">
        <v>560</v>
      </c>
      <c r="G5" s="51" t="s">
        <v>561</v>
      </c>
      <c r="H5" s="51" t="s">
        <v>562</v>
      </c>
      <c r="I5" s="139"/>
      <c r="J5" s="141"/>
    </row>
    <row r="6" spans="1:10" ht="16.5" thickTop="1" x14ac:dyDescent="0.25">
      <c r="A6" s="142" t="str">
        <f>TableCalculations!A11</f>
        <v>Socioeconomic Status</v>
      </c>
      <c r="B6" s="72" t="str">
        <f>TableCalculations!B11</f>
        <v>Below 150% Poverty</v>
      </c>
      <c r="C6" s="73">
        <f>TableCalculations!C11</f>
        <v>0.17488547906589358</v>
      </c>
      <c r="D6" s="74">
        <f>TableCalculations!D11</f>
        <v>109188</v>
      </c>
      <c r="E6" s="95"/>
      <c r="F6" s="95"/>
      <c r="G6" s="95"/>
      <c r="H6" s="95"/>
      <c r="I6" s="75">
        <f>((IF(E6="No Impact",0%,IF(E6="Low Impact",25%,IF(E6="Moderate Impact",50%,IF(E6="High Impact",75%,IF(E6="Very High Impact",100%,)))))))*(1-AVERAGE((IF(F6="Not At All Confident",0%,IF(F6="Slightly Confidence",25%,IF(F6="Somewhat Confident",50%,IF(F6="Fairly Confident",75%,IF(F6="Completely Confident",100%,)))))),(IF(G6="Completely Responsible",0%,IF(G6="Fairly Responsible",25%,IF(G6="Somewhat Responsible",50%,IF(G6="Slightly Responsible",75%,IF(G6="Not At All Responsible",100%,)))))),(IF(H6="Not At All Confident",0%,IF(H6="Slightly Confident",25%,IF(H6="Somewhat Confident",50%,IF(H6="Fairly Confident",75%,IF(H6="Completely Confident",100%,))))))))</f>
        <v>0</v>
      </c>
      <c r="J6" s="76">
        <f>$E$2*C6*I6</f>
        <v>0</v>
      </c>
    </row>
    <row r="7" spans="1:10" ht="15.75" x14ac:dyDescent="0.25">
      <c r="A7" s="143"/>
      <c r="B7" s="77" t="str">
        <f>TableCalculations!B12</f>
        <v>Unemployed</v>
      </c>
      <c r="C7" s="78">
        <f>TableCalculations!C12</f>
        <v>2.0573725854502355E-2</v>
      </c>
      <c r="D7" s="79">
        <f>TableCalculations!D12</f>
        <v>12845</v>
      </c>
      <c r="E7" s="96"/>
      <c r="F7" s="96"/>
      <c r="G7" s="96"/>
      <c r="H7" s="96"/>
      <c r="I7" s="80">
        <f t="shared" ref="I7:I39" si="0">((IF(E7="No Impact",0%,IF(E7="Low Impact",25%,IF(E7="Moderate Impact",50%,IF(E7="High Impact",75%,IF(E7="Very High Impact",100%,)))))))*(1-AVERAGE((IF(F7="Not At All Confident",0%,IF(F7="Slightly Confidence",25%,IF(F7="Somewhat Confident",50%,IF(F7="Fairly Confident",75%,IF(F7="Completely Confident",100%,)))))),(IF(G7="Completely Responsible",0%,IF(G7="Fairly Responsible",25%,IF(G7="Somewhat Responsible",50%,IF(G7="Slightly Responsible",75%,IF(G7="Not At All Responsible",100%,)))))),(IF(H7="Not At All Confident",0%,IF(H7="Slightly Confident",25%,IF(H7="Somewhat Confident",50%,IF(H7="Fairly Confident",75%,IF(H7="Completely Confident",100%,))))))))</f>
        <v>0</v>
      </c>
      <c r="J7" s="81">
        <f t="shared" ref="J7:J39" si="1">$E$2*C7*I7</f>
        <v>0</v>
      </c>
    </row>
    <row r="8" spans="1:10" ht="15.75" x14ac:dyDescent="0.25">
      <c r="A8" s="143"/>
      <c r="B8" s="77" t="str">
        <f>TableCalculations!B13</f>
        <v>Housing Cost Burden</v>
      </c>
      <c r="C8" s="78">
        <f>TableCalculations!C13</f>
        <v>0.12306435595989365</v>
      </c>
      <c r="D8" s="79">
        <f>TableCalculations!D13</f>
        <v>76834</v>
      </c>
      <c r="E8" s="96"/>
      <c r="F8" s="96"/>
      <c r="G8" s="96"/>
      <c r="H8" s="96"/>
      <c r="I8" s="80">
        <f t="shared" si="0"/>
        <v>0</v>
      </c>
      <c r="J8" s="81">
        <f t="shared" si="1"/>
        <v>0</v>
      </c>
    </row>
    <row r="9" spans="1:10" ht="16.5" thickBot="1" x14ac:dyDescent="0.3">
      <c r="A9" s="144"/>
      <c r="B9" s="82" t="str">
        <f>TableCalculations!B14</f>
        <v>No High School Diploma</v>
      </c>
      <c r="C9" s="83">
        <f>TableCalculations!C14</f>
        <v>4.6059839190184838E-2</v>
      </c>
      <c r="D9" s="84">
        <f>TableCalculations!D14</f>
        <v>28757</v>
      </c>
      <c r="E9" s="97"/>
      <c r="F9" s="97"/>
      <c r="G9" s="97"/>
      <c r="H9" s="97"/>
      <c r="I9" s="85">
        <f t="shared" si="0"/>
        <v>0</v>
      </c>
      <c r="J9" s="86">
        <f t="shared" si="1"/>
        <v>0</v>
      </c>
    </row>
    <row r="10" spans="1:10" ht="16.5" thickTop="1" x14ac:dyDescent="0.25">
      <c r="A10" s="145" t="str">
        <f>TableCalculations!A15</f>
        <v>Household Characteristics</v>
      </c>
      <c r="B10" s="72" t="str">
        <f>TableCalculations!B15</f>
        <v>65 &amp; Older</v>
      </c>
      <c r="C10" s="73">
        <f>TableCalculations!C15</f>
        <v>0.19359964122112952</v>
      </c>
      <c r="D10" s="74">
        <f>TableCalculations!D15</f>
        <v>120872</v>
      </c>
      <c r="E10" s="95"/>
      <c r="F10" s="95"/>
      <c r="G10" s="95"/>
      <c r="H10" s="95"/>
      <c r="I10" s="75">
        <f t="shared" si="0"/>
        <v>0</v>
      </c>
      <c r="J10" s="76">
        <f t="shared" si="1"/>
        <v>0</v>
      </c>
    </row>
    <row r="11" spans="1:10" ht="15.75" x14ac:dyDescent="0.25">
      <c r="A11" s="146"/>
      <c r="B11" s="77" t="str">
        <f>TableCalculations!B16</f>
        <v>17 &amp; Younger</v>
      </c>
      <c r="C11" s="78">
        <f>TableCalculations!C16</f>
        <v>0.18520677835794599</v>
      </c>
      <c r="D11" s="79">
        <f>TableCalculations!D16</f>
        <v>115632</v>
      </c>
      <c r="E11" s="96"/>
      <c r="F11" s="96"/>
      <c r="G11" s="96"/>
      <c r="H11" s="96"/>
      <c r="I11" s="80">
        <f t="shared" si="0"/>
        <v>0</v>
      </c>
      <c r="J11" s="81">
        <f t="shared" si="1"/>
        <v>0</v>
      </c>
    </row>
    <row r="12" spans="1:10" ht="15.75" x14ac:dyDescent="0.25">
      <c r="A12" s="146"/>
      <c r="B12" s="77" t="str">
        <f>TableCalculations!B17</f>
        <v>Civilian with a disability</v>
      </c>
      <c r="C12" s="78">
        <f>TableCalculations!C17</f>
        <v>0.14065893583624306</v>
      </c>
      <c r="D12" s="79">
        <f>TableCalculations!D17</f>
        <v>87819</v>
      </c>
      <c r="E12" s="96"/>
      <c r="F12" s="96"/>
      <c r="G12" s="96"/>
      <c r="H12" s="96"/>
      <c r="I12" s="80">
        <f t="shared" si="0"/>
        <v>0</v>
      </c>
      <c r="J12" s="81">
        <f t="shared" si="1"/>
        <v>0</v>
      </c>
    </row>
    <row r="13" spans="1:10" ht="15.75" x14ac:dyDescent="0.25">
      <c r="A13" s="146"/>
      <c r="B13" s="77" t="str">
        <f>TableCalculations!B18</f>
        <v>Single parent households</v>
      </c>
      <c r="C13" s="78">
        <f>TableCalculations!C18</f>
        <v>2.0464810840247302E-2</v>
      </c>
      <c r="D13" s="79">
        <f>TableCalculations!D18</f>
        <v>12777</v>
      </c>
      <c r="E13" s="96"/>
      <c r="F13" s="96"/>
      <c r="G13" s="96"/>
      <c r="H13" s="96"/>
      <c r="I13" s="80">
        <f t="shared" si="0"/>
        <v>0</v>
      </c>
      <c r="J13" s="81">
        <f t="shared" si="1"/>
        <v>0</v>
      </c>
    </row>
    <row r="14" spans="1:10" ht="15.75" x14ac:dyDescent="0.25">
      <c r="A14" s="146"/>
      <c r="B14" s="77" t="str">
        <f>TableCalculations!B19</f>
        <v>Limited English Proficiency</v>
      </c>
      <c r="C14" s="78">
        <f>TableCalculations!C19</f>
        <v>5.7949194349232788E-3</v>
      </c>
      <c r="D14" s="79">
        <f>TableCalculations!D19</f>
        <v>3618</v>
      </c>
      <c r="E14" s="96"/>
      <c r="F14" s="96"/>
      <c r="G14" s="96"/>
      <c r="H14" s="96"/>
      <c r="I14" s="80">
        <f t="shared" si="0"/>
        <v>0</v>
      </c>
      <c r="J14" s="81">
        <f t="shared" si="1"/>
        <v>0</v>
      </c>
    </row>
    <row r="15" spans="1:10" ht="16.5" thickBot="1" x14ac:dyDescent="0.3">
      <c r="A15" s="147"/>
      <c r="B15" s="82" t="str">
        <f>TableCalculations!B20</f>
        <v>Rural Residents</v>
      </c>
      <c r="C15" s="83">
        <f>TableCalculations!C20</f>
        <v>0.61339189889419532</v>
      </c>
      <c r="D15" s="84">
        <f>TableCalculations!D20</f>
        <v>382356</v>
      </c>
      <c r="E15" s="97"/>
      <c r="F15" s="97"/>
      <c r="G15" s="97"/>
      <c r="H15" s="97"/>
      <c r="I15" s="85">
        <f t="shared" si="0"/>
        <v>0</v>
      </c>
      <c r="J15" s="86">
        <f t="shared" si="1"/>
        <v>0</v>
      </c>
    </row>
    <row r="16" spans="1:10" ht="16.5" thickTop="1" x14ac:dyDescent="0.25">
      <c r="A16" s="142" t="str">
        <f>TableCalculations!A21</f>
        <v>Housing Type and Transportation</v>
      </c>
      <c r="B16" s="72" t="str">
        <f>TableCalculations!B21</f>
        <v>Multi-unit Structure</v>
      </c>
      <c r="C16" s="73">
        <f>TableCalculations!C21</f>
        <v>3.1614184578915336E-2</v>
      </c>
      <c r="D16" s="74">
        <f>TableCalculations!D21</f>
        <v>19738</v>
      </c>
      <c r="E16" s="95"/>
      <c r="F16" s="95"/>
      <c r="G16" s="95"/>
      <c r="H16" s="95"/>
      <c r="I16" s="75">
        <f t="shared" si="0"/>
        <v>0</v>
      </c>
      <c r="J16" s="76">
        <f t="shared" si="1"/>
        <v>0</v>
      </c>
    </row>
    <row r="17" spans="1:10" ht="15.75" x14ac:dyDescent="0.25">
      <c r="A17" s="143"/>
      <c r="B17" s="77" t="str">
        <f>TableCalculations!B22</f>
        <v>Mobile Homes</v>
      </c>
      <c r="C17" s="78">
        <f>TableCalculations!C22</f>
        <v>3.463497453310696E-2</v>
      </c>
      <c r="D17" s="79">
        <f>TableCalculations!D22</f>
        <v>21624</v>
      </c>
      <c r="E17" s="96"/>
      <c r="F17" s="96"/>
      <c r="G17" s="96"/>
      <c r="H17" s="96"/>
      <c r="I17" s="80">
        <f t="shared" si="0"/>
        <v>0</v>
      </c>
      <c r="J17" s="81">
        <f t="shared" si="1"/>
        <v>0</v>
      </c>
    </row>
    <row r="18" spans="1:10" ht="15.75" x14ac:dyDescent="0.25">
      <c r="A18" s="143"/>
      <c r="B18" s="77" t="str">
        <f>TableCalculations!B23</f>
        <v>Crowding</v>
      </c>
      <c r="C18" s="78">
        <f>TableCalculations!C23</f>
        <v>6.6470192523304609E-3</v>
      </c>
      <c r="D18" s="79">
        <f>TableCalculations!D23</f>
        <v>4150</v>
      </c>
      <c r="E18" s="96"/>
      <c r="F18" s="96"/>
      <c r="G18" s="96"/>
      <c r="H18" s="96"/>
      <c r="I18" s="80">
        <f t="shared" si="0"/>
        <v>0</v>
      </c>
      <c r="J18" s="81">
        <f t="shared" si="1"/>
        <v>0</v>
      </c>
    </row>
    <row r="19" spans="1:10" ht="15.75" x14ac:dyDescent="0.25">
      <c r="A19" s="143"/>
      <c r="B19" s="77" t="str">
        <f>TableCalculations!B24</f>
        <v>No Vehicle</v>
      </c>
      <c r="C19" s="78">
        <f>TableCalculations!C24</f>
        <v>2.8253836050869719E-2</v>
      </c>
      <c r="D19" s="79">
        <f>TableCalculations!D24</f>
        <v>17640</v>
      </c>
      <c r="E19" s="96"/>
      <c r="F19" s="96"/>
      <c r="G19" s="96"/>
      <c r="H19" s="96"/>
      <c r="I19" s="80">
        <f t="shared" si="0"/>
        <v>0</v>
      </c>
      <c r="J19" s="81">
        <f t="shared" si="1"/>
        <v>0</v>
      </c>
    </row>
    <row r="20" spans="1:10" ht="16.5" thickBot="1" x14ac:dyDescent="0.3">
      <c r="A20" s="144"/>
      <c r="B20" s="82" t="str">
        <f>TableCalculations!B25</f>
        <v>Group Quarters</v>
      </c>
      <c r="C20" s="83">
        <f>TableCalculations!C25</f>
        <v>4.0804689752378512E-2</v>
      </c>
      <c r="D20" s="84">
        <f>TableCalculations!D25</f>
        <v>25476</v>
      </c>
      <c r="E20" s="97"/>
      <c r="F20" s="97"/>
      <c r="G20" s="97"/>
      <c r="H20" s="97"/>
      <c r="I20" s="85">
        <f t="shared" si="0"/>
        <v>0</v>
      </c>
      <c r="J20" s="86">
        <f t="shared" si="1"/>
        <v>0</v>
      </c>
    </row>
    <row r="21" spans="1:10" ht="16.5" thickTop="1" x14ac:dyDescent="0.25">
      <c r="A21" s="145" t="str">
        <f>TableCalculations!A26</f>
        <v>Racial &amp; Ethnic Minority Status</v>
      </c>
      <c r="B21" s="72" t="str">
        <f>TableCalculations!B26</f>
        <v>Black or African American</v>
      </c>
      <c r="C21" s="73">
        <f>TableCalculations!C26</f>
        <v>1.2006278630233527E-2</v>
      </c>
      <c r="D21" s="74">
        <f>TableCalculations!D26</f>
        <v>7496</v>
      </c>
      <c r="E21" s="95"/>
      <c r="F21" s="95"/>
      <c r="G21" s="95"/>
      <c r="H21" s="95"/>
      <c r="I21" s="75">
        <f t="shared" si="0"/>
        <v>0</v>
      </c>
      <c r="J21" s="76">
        <f t="shared" si="1"/>
        <v>0</v>
      </c>
    </row>
    <row r="22" spans="1:10" ht="15.75" x14ac:dyDescent="0.25">
      <c r="A22" s="146"/>
      <c r="B22" s="77" t="str">
        <f>TableCalculations!B27</f>
        <v>Hispanic or Latino (of any race)</v>
      </c>
      <c r="C22" s="78">
        <f>TableCalculations!C27</f>
        <v>2.0049972771246437E-2</v>
      </c>
      <c r="D22" s="79">
        <f>TableCalculations!D27</f>
        <v>12518</v>
      </c>
      <c r="E22" s="96"/>
      <c r="F22" s="96"/>
      <c r="G22" s="96"/>
      <c r="H22" s="96"/>
      <c r="I22" s="80">
        <f t="shared" si="0"/>
        <v>0</v>
      </c>
      <c r="J22" s="81">
        <f t="shared" si="1"/>
        <v>0</v>
      </c>
    </row>
    <row r="23" spans="1:10" ht="15.75" x14ac:dyDescent="0.25">
      <c r="A23" s="146"/>
      <c r="B23" s="77" t="str">
        <f>TableCalculations!B28</f>
        <v>Asian</v>
      </c>
      <c r="C23" s="78">
        <f>TableCalculations!C28</f>
        <v>1.608418489925361E-2</v>
      </c>
      <c r="D23" s="79">
        <f>TableCalculations!D28</f>
        <v>10042</v>
      </c>
      <c r="E23" s="96"/>
      <c r="F23" s="96"/>
      <c r="G23" s="96"/>
      <c r="H23" s="96"/>
      <c r="I23" s="80">
        <f t="shared" si="0"/>
        <v>0</v>
      </c>
      <c r="J23" s="81">
        <f t="shared" si="1"/>
        <v>0</v>
      </c>
    </row>
    <row r="24" spans="1:10" ht="15.75" x14ac:dyDescent="0.25">
      <c r="A24" s="146"/>
      <c r="B24" s="77" t="str">
        <f>TableCalculations!B29</f>
        <v>American Indian or Alaska Native</v>
      </c>
      <c r="C24" s="78">
        <f>TableCalculations!C29</f>
        <v>2.4634013518275298E-3</v>
      </c>
      <c r="D24" s="79">
        <f>TableCalculations!D29</f>
        <v>1538</v>
      </c>
      <c r="E24" s="96"/>
      <c r="F24" s="96"/>
      <c r="G24" s="96"/>
      <c r="H24" s="96"/>
      <c r="I24" s="80">
        <f t="shared" si="0"/>
        <v>0</v>
      </c>
      <c r="J24" s="81">
        <f t="shared" si="1"/>
        <v>0</v>
      </c>
    </row>
    <row r="25" spans="1:10" ht="15.75" x14ac:dyDescent="0.25">
      <c r="A25" s="146"/>
      <c r="B25" s="77" t="str">
        <f>TableCalculations!B30</f>
        <v>Native Hawaiian or Pacific Islander</v>
      </c>
      <c r="C25" s="78">
        <f>TableCalculations!C30</f>
        <v>3.075247461319153E-4</v>
      </c>
      <c r="D25" s="79">
        <f>TableCalculations!D30</f>
        <v>192</v>
      </c>
      <c r="E25" s="96"/>
      <c r="F25" s="96"/>
      <c r="G25" s="96"/>
      <c r="H25" s="96"/>
      <c r="I25" s="80">
        <f t="shared" si="0"/>
        <v>0</v>
      </c>
      <c r="J25" s="81">
        <f t="shared" si="1"/>
        <v>0</v>
      </c>
    </row>
    <row r="26" spans="1:10" ht="15.75" x14ac:dyDescent="0.25">
      <c r="A26" s="146"/>
      <c r="B26" s="77" t="str">
        <f>TableCalculations!B31</f>
        <v>Two or More Races</v>
      </c>
      <c r="C26" s="78">
        <f>TableCalculations!C31</f>
        <v>2.3994938655219913E-2</v>
      </c>
      <c r="D26" s="79">
        <f>TableCalculations!D31</f>
        <v>14981</v>
      </c>
      <c r="E26" s="96"/>
      <c r="F26" s="96"/>
      <c r="G26" s="96"/>
      <c r="H26" s="96"/>
      <c r="I26" s="80">
        <f t="shared" si="0"/>
        <v>0</v>
      </c>
      <c r="J26" s="81">
        <f t="shared" si="1"/>
        <v>0</v>
      </c>
    </row>
    <row r="27" spans="1:10" ht="16.5" thickBot="1" x14ac:dyDescent="0.3">
      <c r="A27" s="147"/>
      <c r="B27" s="82" t="str">
        <f>TableCalculations!B32</f>
        <v>Other Races</v>
      </c>
      <c r="C27" s="83">
        <f>TableCalculations!C32</f>
        <v>1.5568440272928212E-3</v>
      </c>
      <c r="D27" s="84">
        <f>TableCalculations!D32</f>
        <v>972</v>
      </c>
      <c r="E27" s="97"/>
      <c r="F27" s="97"/>
      <c r="G27" s="97"/>
      <c r="H27" s="97"/>
      <c r="I27" s="85">
        <f t="shared" si="0"/>
        <v>0</v>
      </c>
      <c r="J27" s="86">
        <f t="shared" si="1"/>
        <v>0</v>
      </c>
    </row>
    <row r="28" spans="1:10" ht="16.5" thickTop="1" x14ac:dyDescent="0.25">
      <c r="A28" s="135" t="str">
        <f>TableCalculations!A33</f>
        <v>Health Characteristics</v>
      </c>
      <c r="B28" s="57" t="str">
        <f>TableCalculations!B33</f>
        <v>Frequent Physical Distress</v>
      </c>
      <c r="C28" s="58">
        <f>TableCalculations!C33</f>
        <v>0.11107938275150117</v>
      </c>
      <c r="D28" s="59">
        <f>TableCalculations!D33</f>
        <v>69241</v>
      </c>
      <c r="E28" s="98"/>
      <c r="F28" s="98"/>
      <c r="G28" s="98"/>
      <c r="H28" s="98"/>
      <c r="I28" s="60">
        <f t="shared" si="0"/>
        <v>0</v>
      </c>
      <c r="J28" s="61">
        <f t="shared" si="1"/>
        <v>0</v>
      </c>
    </row>
    <row r="29" spans="1:10" ht="15.75" x14ac:dyDescent="0.25">
      <c r="A29" s="136"/>
      <c r="B29" s="62" t="str">
        <f>TableCalculations!B34</f>
        <v>Frequent Mental Distress</v>
      </c>
      <c r="C29" s="63">
        <f>TableCalculations!C34</f>
        <v>0.14053809515406346</v>
      </c>
      <c r="D29" s="64">
        <f>TableCalculations!D34</f>
        <v>87604</v>
      </c>
      <c r="E29" s="99"/>
      <c r="F29" s="99"/>
      <c r="G29" s="99"/>
      <c r="H29" s="99"/>
      <c r="I29" s="65">
        <f t="shared" si="0"/>
        <v>0</v>
      </c>
      <c r="J29" s="66">
        <f t="shared" si="1"/>
        <v>0</v>
      </c>
    </row>
    <row r="30" spans="1:10" ht="15.75" x14ac:dyDescent="0.25">
      <c r="A30" s="136"/>
      <c r="B30" s="62" t="str">
        <f>TableCalculations!B35</f>
        <v>Adults with Diabetes</v>
      </c>
      <c r="C30" s="63">
        <f>TableCalculations!C35</f>
        <v>7.1231593318007463E-2</v>
      </c>
      <c r="D30" s="64">
        <f>TableCalculations!D35</f>
        <v>44402</v>
      </c>
      <c r="E30" s="99"/>
      <c r="F30" s="99"/>
      <c r="G30" s="99"/>
      <c r="H30" s="99"/>
      <c r="I30" s="65">
        <f t="shared" si="0"/>
        <v>0</v>
      </c>
      <c r="J30" s="66">
        <f t="shared" si="1"/>
        <v>0</v>
      </c>
    </row>
    <row r="31" spans="1:10" ht="15.75" x14ac:dyDescent="0.25">
      <c r="A31" s="136"/>
      <c r="B31" s="62" t="str">
        <f>TableCalculations!B36</f>
        <v>Persons living with HIV</v>
      </c>
      <c r="C31" s="63">
        <f>TableCalculations!C36</f>
        <v>2.5026189265369049E-4</v>
      </c>
      <c r="D31" s="64">
        <f>TableCalculations!D36</f>
        <v>156</v>
      </c>
      <c r="E31" s="99"/>
      <c r="F31" s="99"/>
      <c r="G31" s="99"/>
      <c r="H31" s="99"/>
      <c r="I31" s="65">
        <f t="shared" si="0"/>
        <v>0</v>
      </c>
      <c r="J31" s="66">
        <f t="shared" si="1"/>
        <v>0</v>
      </c>
    </row>
    <row r="32" spans="1:10" ht="15.75" x14ac:dyDescent="0.25">
      <c r="A32" s="136"/>
      <c r="B32" s="62" t="str">
        <f>TableCalculations!B37</f>
        <v>Food Insecure</v>
      </c>
      <c r="C32" s="63">
        <f>TableCalculations!C37</f>
        <v>0.10352179444194004</v>
      </c>
      <c r="D32" s="64">
        <f>TableCalculations!D37</f>
        <v>64530</v>
      </c>
      <c r="E32" s="99"/>
      <c r="F32" s="99"/>
      <c r="G32" s="99"/>
      <c r="H32" s="99"/>
      <c r="I32" s="65">
        <f t="shared" si="0"/>
        <v>0</v>
      </c>
      <c r="J32" s="66">
        <f t="shared" si="1"/>
        <v>0</v>
      </c>
    </row>
    <row r="33" spans="1:10" ht="15.75" x14ac:dyDescent="0.25">
      <c r="A33" s="136"/>
      <c r="B33" s="62" t="str">
        <f>TableCalculations!B38</f>
        <v>Limited Access to Healthy Food</v>
      </c>
      <c r="C33" s="63">
        <f>TableCalculations!C38</f>
        <v>2.9855678261910299E-2</v>
      </c>
      <c r="D33" s="64">
        <f>TableCalculations!D38</f>
        <v>18610.447477526999</v>
      </c>
      <c r="E33" s="99"/>
      <c r="F33" s="99"/>
      <c r="G33" s="99"/>
      <c r="H33" s="99"/>
      <c r="I33" s="65">
        <f t="shared" si="0"/>
        <v>0</v>
      </c>
      <c r="J33" s="66">
        <f t="shared" si="1"/>
        <v>0</v>
      </c>
    </row>
    <row r="34" spans="1:10" ht="15.75" x14ac:dyDescent="0.25">
      <c r="A34" s="136"/>
      <c r="B34" s="62" t="str">
        <f>TableCalculations!B39</f>
        <v>Drug Overdose Deaths</v>
      </c>
      <c r="C34" s="63">
        <f>TableCalculations!C39</f>
        <v>7.5238992086269763E-4</v>
      </c>
      <c r="D34" s="64">
        <f>TableCalculations!D39</f>
        <v>469</v>
      </c>
      <c r="E34" s="99"/>
      <c r="F34" s="99"/>
      <c r="G34" s="99"/>
      <c r="H34" s="99"/>
      <c r="I34" s="65">
        <f t="shared" si="0"/>
        <v>0</v>
      </c>
      <c r="J34" s="66">
        <f t="shared" si="1"/>
        <v>0</v>
      </c>
    </row>
    <row r="35" spans="1:10" ht="15.75" x14ac:dyDescent="0.25">
      <c r="A35" s="136"/>
      <c r="B35" s="62" t="str">
        <f>TableCalculations!B40</f>
        <v>Insufficient Sleep</v>
      </c>
      <c r="C35" s="63">
        <f>TableCalculations!C40</f>
        <v>0.31374820124264657</v>
      </c>
      <c r="D35" s="64">
        <f>TableCalculations!D40</f>
        <v>195574</v>
      </c>
      <c r="E35" s="99"/>
      <c r="F35" s="99"/>
      <c r="G35" s="99"/>
      <c r="H35" s="99"/>
      <c r="I35" s="65">
        <f t="shared" si="0"/>
        <v>0</v>
      </c>
      <c r="J35" s="66">
        <f t="shared" si="1"/>
        <v>0</v>
      </c>
    </row>
    <row r="36" spans="1:10" ht="15.75" x14ac:dyDescent="0.25">
      <c r="A36" s="136"/>
      <c r="B36" s="62" t="str">
        <f>TableCalculations!B41</f>
        <v>Uninsured Adults</v>
      </c>
      <c r="C36" s="63">
        <f>TableCalculations!C41</f>
        <v>4.034670897589946E-2</v>
      </c>
      <c r="D36" s="64">
        <f>TableCalculations!D41</f>
        <v>25150</v>
      </c>
      <c r="E36" s="99"/>
      <c r="F36" s="99"/>
      <c r="G36" s="99"/>
      <c r="H36" s="99"/>
      <c r="I36" s="65">
        <f t="shared" si="0"/>
        <v>0</v>
      </c>
      <c r="J36" s="66">
        <f t="shared" si="1"/>
        <v>0</v>
      </c>
    </row>
    <row r="37" spans="1:10" ht="15.75" x14ac:dyDescent="0.25">
      <c r="A37" s="136"/>
      <c r="B37" s="62" t="str">
        <f>TableCalculations!B42</f>
        <v>Uninsured Children</v>
      </c>
      <c r="C37" s="63">
        <f>TableCalculations!C42</f>
        <v>3.526125897774434E-3</v>
      </c>
      <c r="D37" s="64">
        <f>TableCalculations!D42</f>
        <v>2198</v>
      </c>
      <c r="E37" s="99"/>
      <c r="F37" s="99"/>
      <c r="G37" s="99"/>
      <c r="H37" s="99"/>
      <c r="I37" s="65">
        <f t="shared" si="0"/>
        <v>0</v>
      </c>
      <c r="J37" s="66">
        <f t="shared" si="1"/>
        <v>0</v>
      </c>
    </row>
    <row r="38" spans="1:10" ht="15.75" x14ac:dyDescent="0.25">
      <c r="A38" s="136"/>
      <c r="B38" s="62" t="str">
        <f>TableCalculations!B43</f>
        <v>Suicide Deaths</v>
      </c>
      <c r="C38" s="63">
        <f>TableCalculations!C43</f>
        <v>9.0479299651718861E-4</v>
      </c>
      <c r="D38" s="64">
        <f>TableCalculations!D43</f>
        <v>564</v>
      </c>
      <c r="E38" s="99"/>
      <c r="F38" s="99"/>
      <c r="G38" s="99"/>
      <c r="H38" s="99"/>
      <c r="I38" s="65">
        <f t="shared" si="0"/>
        <v>0</v>
      </c>
      <c r="J38" s="66">
        <f t="shared" si="1"/>
        <v>0</v>
      </c>
    </row>
    <row r="39" spans="1:10" ht="16.5" thickBot="1" x14ac:dyDescent="0.3">
      <c r="A39" s="137"/>
      <c r="B39" s="67" t="str">
        <f>TableCalculations!B44</f>
        <v>Firearm Deaths</v>
      </c>
      <c r="C39" s="68">
        <f>TableCalculations!C44</f>
        <v>5.7913168748706574E-4</v>
      </c>
      <c r="D39" s="69">
        <f>TableCalculations!D44</f>
        <v>361</v>
      </c>
      <c r="E39" s="100"/>
      <c r="F39" s="100"/>
      <c r="G39" s="100"/>
      <c r="H39" s="100"/>
      <c r="I39" s="70">
        <f t="shared" si="0"/>
        <v>0</v>
      </c>
      <c r="J39" s="71">
        <f t="shared" si="1"/>
        <v>0</v>
      </c>
    </row>
    <row r="40" spans="1:10" ht="15.75" thickTop="1" x14ac:dyDescent="0.25"/>
  </sheetData>
  <sheetProtection sheet="1" objects="1" scenarios="1"/>
  <mergeCells count="17">
    <mergeCell ref="A1:J1"/>
    <mergeCell ref="C2:D2"/>
    <mergeCell ref="E2:F2"/>
    <mergeCell ref="G2:H2"/>
    <mergeCell ref="I2:J2"/>
    <mergeCell ref="A28:A39"/>
    <mergeCell ref="I3:I5"/>
    <mergeCell ref="J3:J5"/>
    <mergeCell ref="A6:A9"/>
    <mergeCell ref="A10:A15"/>
    <mergeCell ref="A16:A20"/>
    <mergeCell ref="A21:A27"/>
    <mergeCell ref="A3:B5"/>
    <mergeCell ref="C3:C5"/>
    <mergeCell ref="D3:D5"/>
    <mergeCell ref="E3:E4"/>
    <mergeCell ref="F3:H3"/>
  </mergeCells>
  <conditionalFormatting sqref="J6:J39">
    <cfRule type="top10" dxfId="3" priority="1" rank="5"/>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18EC43A-1DC3-4E89-BAEB-C7E75C16FA44}">
          <x14:formula1>
            <xm:f>TableCalculations!$A$2:$A$6</xm:f>
          </x14:formula1>
          <xm:sqref>E6:E39</xm:sqref>
        </x14:dataValidation>
        <x14:dataValidation type="list" allowBlank="1" showInputMessage="1" showErrorMessage="1" xr:uid="{6E31AB14-FE8B-452D-89EE-671042D12935}">
          <x14:formula1>
            <xm:f>TableCalculations!$B$2:$B$6</xm:f>
          </x14:formula1>
          <xm:sqref>F6:F39</xm:sqref>
        </x14:dataValidation>
        <x14:dataValidation type="list" allowBlank="1" showInputMessage="1" showErrorMessage="1" xr:uid="{F978C3C4-A0F2-4C7D-8DDF-9E2D48E60AC0}">
          <x14:formula1>
            <xm:f>TableCalculations!$C$2:$C$6</xm:f>
          </x14:formula1>
          <xm:sqref>G6:G39</xm:sqref>
        </x14:dataValidation>
        <x14:dataValidation type="list" allowBlank="1" showInputMessage="1" showErrorMessage="1" xr:uid="{54CBAC17-1EDC-4C89-9821-D0510EF72408}">
          <x14:formula1>
            <xm:f>TableCalculations!$D$2:$D$6</xm:f>
          </x14:formula1>
          <xm:sqref>H6:H39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21155-F5A3-4671-9F8A-131EE01D0203}">
  <sheetPr codeName="Sheet9"/>
  <dimension ref="A1:H37"/>
  <sheetViews>
    <sheetView workbookViewId="0">
      <selection sqref="A1:H1"/>
    </sheetView>
  </sheetViews>
  <sheetFormatPr defaultRowHeight="15" x14ac:dyDescent="0.25"/>
  <cols>
    <col min="1" max="1" width="23.5703125" customWidth="1"/>
    <col min="2" max="2" width="36" customWidth="1"/>
    <col min="3" max="3" width="14.5703125" customWidth="1"/>
    <col min="4" max="8" width="15.5703125" customWidth="1"/>
  </cols>
  <sheetData>
    <row r="1" spans="1:8" ht="21" x14ac:dyDescent="0.25">
      <c r="A1" s="161" t="s">
        <v>612</v>
      </c>
      <c r="B1" s="161"/>
      <c r="C1" s="161"/>
      <c r="D1" s="161"/>
      <c r="E1" s="161"/>
      <c r="F1" s="161"/>
      <c r="G1" s="161"/>
      <c r="H1" s="162"/>
    </row>
    <row r="2" spans="1:8" ht="78.75" x14ac:dyDescent="0.25">
      <c r="A2" s="163" t="s">
        <v>549</v>
      </c>
      <c r="B2" s="164"/>
      <c r="C2" s="87" t="s">
        <v>551</v>
      </c>
      <c r="D2" s="2" t="str">
        <f>InputHazards!A3</f>
        <v>Hazard 1</v>
      </c>
      <c r="E2" s="2" t="str">
        <f>InputHazards!A4</f>
        <v>Hazard 2</v>
      </c>
      <c r="F2" s="50" t="str">
        <f>InputHazards!A5</f>
        <v>Hazard 3</v>
      </c>
      <c r="G2" s="2" t="str">
        <f>InputHazards!A6</f>
        <v>Hazard 4</v>
      </c>
      <c r="H2" s="2" t="str">
        <f>InputHazards!A7</f>
        <v>Hazard 5</v>
      </c>
    </row>
    <row r="3" spans="1:8" ht="15.75" x14ac:dyDescent="0.25">
      <c r="A3" s="160" t="s">
        <v>23</v>
      </c>
      <c r="B3" s="3" t="s">
        <v>24</v>
      </c>
      <c r="C3" s="88">
        <v>109188</v>
      </c>
      <c r="D3" s="89">
        <f>'Hazard 1'!J6</f>
        <v>0</v>
      </c>
      <c r="E3" s="89">
        <f>'Hazard 2'!J6</f>
        <v>0</v>
      </c>
      <c r="F3" s="89">
        <f>'Hazard 3'!J6</f>
        <v>0</v>
      </c>
      <c r="G3" s="89">
        <f>'Hazard 4'!J6</f>
        <v>0</v>
      </c>
      <c r="H3" s="89">
        <f>'Hazard 5'!J6</f>
        <v>0</v>
      </c>
    </row>
    <row r="4" spans="1:8" ht="15.75" x14ac:dyDescent="0.25">
      <c r="A4" s="160"/>
      <c r="B4" s="3" t="s">
        <v>25</v>
      </c>
      <c r="C4" s="88">
        <v>12845</v>
      </c>
      <c r="D4" s="89">
        <f>'Hazard 1'!J7</f>
        <v>0</v>
      </c>
      <c r="E4" s="89">
        <f>'Hazard 2'!J7</f>
        <v>0</v>
      </c>
      <c r="F4" s="89">
        <f>'Hazard 3'!J7</f>
        <v>0</v>
      </c>
      <c r="G4" s="89">
        <f>'Hazard 4'!J7</f>
        <v>0</v>
      </c>
      <c r="H4" s="89">
        <f>'Hazard 5'!J7</f>
        <v>0</v>
      </c>
    </row>
    <row r="5" spans="1:8" ht="15.75" x14ac:dyDescent="0.25">
      <c r="A5" s="160"/>
      <c r="B5" s="3" t="s">
        <v>26</v>
      </c>
      <c r="C5" s="88">
        <v>76834</v>
      </c>
      <c r="D5" s="89">
        <f>'Hazard 1'!J8</f>
        <v>0</v>
      </c>
      <c r="E5" s="89">
        <f>'Hazard 2'!J8</f>
        <v>0</v>
      </c>
      <c r="F5" s="89">
        <f>'Hazard 3'!J8</f>
        <v>0</v>
      </c>
      <c r="G5" s="89">
        <f>'Hazard 4'!J8</f>
        <v>0</v>
      </c>
      <c r="H5" s="89">
        <f>'Hazard 5'!J8</f>
        <v>0</v>
      </c>
    </row>
    <row r="6" spans="1:8" ht="15.75" x14ac:dyDescent="0.25">
      <c r="A6" s="160"/>
      <c r="B6" s="3" t="s">
        <v>27</v>
      </c>
      <c r="C6" s="88">
        <v>28757</v>
      </c>
      <c r="D6" s="89">
        <f>'Hazard 1'!J9</f>
        <v>0</v>
      </c>
      <c r="E6" s="89">
        <f>'Hazard 2'!J9</f>
        <v>0</v>
      </c>
      <c r="F6" s="89">
        <f>'Hazard 3'!J9</f>
        <v>0</v>
      </c>
      <c r="G6" s="89">
        <f>'Hazard 4'!J9</f>
        <v>0</v>
      </c>
      <c r="H6" s="89">
        <f>'Hazard 5'!J9</f>
        <v>0</v>
      </c>
    </row>
    <row r="7" spans="1:8" ht="15.75" x14ac:dyDescent="0.25">
      <c r="A7" s="160"/>
      <c r="B7" s="3" t="s">
        <v>616</v>
      </c>
      <c r="C7" s="88">
        <v>25031</v>
      </c>
      <c r="D7" s="89">
        <f>'Hazard 1'!J10</f>
        <v>0</v>
      </c>
      <c r="E7" s="89">
        <f>'Hazard 2'!J10</f>
        <v>0</v>
      </c>
      <c r="F7" s="89">
        <f>'Hazard 3'!J10</f>
        <v>0</v>
      </c>
      <c r="G7" s="89">
        <f>'Hazard 4'!J10</f>
        <v>0</v>
      </c>
      <c r="H7" s="89">
        <f>'Hazard 5'!J10</f>
        <v>0</v>
      </c>
    </row>
    <row r="8" spans="1:8" ht="15.75" x14ac:dyDescent="0.25">
      <c r="A8" s="152" t="s">
        <v>28</v>
      </c>
      <c r="B8" s="3" t="s">
        <v>29</v>
      </c>
      <c r="C8" s="88">
        <v>120872</v>
      </c>
      <c r="D8" s="89">
        <f>'Hazard 1'!J11</f>
        <v>0</v>
      </c>
      <c r="E8" s="89">
        <f>'Hazard 2'!J11</f>
        <v>0</v>
      </c>
      <c r="F8" s="89">
        <f>'Hazard 3'!J11</f>
        <v>0</v>
      </c>
      <c r="G8" s="89">
        <f>'Hazard 4'!J11</f>
        <v>0</v>
      </c>
      <c r="H8" s="89">
        <f>'Hazard 5'!J11</f>
        <v>0</v>
      </c>
    </row>
    <row r="9" spans="1:8" ht="15.75" x14ac:dyDescent="0.25">
      <c r="A9" s="152"/>
      <c r="B9" s="3" t="s">
        <v>30</v>
      </c>
      <c r="C9" s="88">
        <v>115632</v>
      </c>
      <c r="D9" s="89">
        <f>'Hazard 1'!J12</f>
        <v>0</v>
      </c>
      <c r="E9" s="89">
        <f>'Hazard 2'!J12</f>
        <v>0</v>
      </c>
      <c r="F9" s="89">
        <f>'Hazard 3'!J12</f>
        <v>0</v>
      </c>
      <c r="G9" s="89">
        <f>'Hazard 4'!J12</f>
        <v>0</v>
      </c>
      <c r="H9" s="89">
        <f>'Hazard 5'!J12</f>
        <v>0</v>
      </c>
    </row>
    <row r="10" spans="1:8" ht="15.75" x14ac:dyDescent="0.25">
      <c r="A10" s="152"/>
      <c r="B10" s="3" t="s">
        <v>31</v>
      </c>
      <c r="C10" s="88">
        <v>87819</v>
      </c>
      <c r="D10" s="89">
        <f>'Hazard 1'!J13</f>
        <v>0</v>
      </c>
      <c r="E10" s="89">
        <f>'Hazard 2'!J13</f>
        <v>0</v>
      </c>
      <c r="F10" s="89">
        <f>'Hazard 3'!J13</f>
        <v>0</v>
      </c>
      <c r="G10" s="89">
        <f>'Hazard 4'!J13</f>
        <v>0</v>
      </c>
      <c r="H10" s="89">
        <f>'Hazard 5'!J13</f>
        <v>0</v>
      </c>
    </row>
    <row r="11" spans="1:8" ht="15.75" x14ac:dyDescent="0.25">
      <c r="A11" s="152"/>
      <c r="B11" s="3" t="s">
        <v>32</v>
      </c>
      <c r="C11" s="88">
        <v>12777</v>
      </c>
      <c r="D11" s="89">
        <f>'Hazard 1'!J14</f>
        <v>0</v>
      </c>
      <c r="E11" s="89">
        <f>'Hazard 2'!J14</f>
        <v>0</v>
      </c>
      <c r="F11" s="89">
        <f>'Hazard 3'!J14</f>
        <v>0</v>
      </c>
      <c r="G11" s="89">
        <f>'Hazard 4'!J14</f>
        <v>0</v>
      </c>
      <c r="H11" s="89">
        <f>'Hazard 5'!J14</f>
        <v>0</v>
      </c>
    </row>
    <row r="12" spans="1:8" ht="15.75" x14ac:dyDescent="0.25">
      <c r="A12" s="152"/>
      <c r="B12" s="3" t="s">
        <v>617</v>
      </c>
      <c r="C12" s="88">
        <v>3618</v>
      </c>
      <c r="D12" s="89">
        <f>'Hazard 1'!J15</f>
        <v>0</v>
      </c>
      <c r="E12" s="89">
        <f>'Hazard 2'!J15</f>
        <v>0</v>
      </c>
      <c r="F12" s="89">
        <f>'Hazard 3'!J15</f>
        <v>0</v>
      </c>
      <c r="G12" s="89">
        <f>'Hazard 4'!J15</f>
        <v>0</v>
      </c>
      <c r="H12" s="89">
        <f>'Hazard 5'!J15</f>
        <v>0</v>
      </c>
    </row>
    <row r="13" spans="1:8" ht="15.75" x14ac:dyDescent="0.25">
      <c r="A13" s="152"/>
      <c r="B13" s="3" t="s">
        <v>33</v>
      </c>
      <c r="C13" s="88">
        <v>382356</v>
      </c>
      <c r="D13" s="89">
        <f>'Hazard 1'!J16</f>
        <v>0</v>
      </c>
      <c r="E13" s="89">
        <f>'Hazard 2'!J16</f>
        <v>0</v>
      </c>
      <c r="F13" s="89">
        <f>'Hazard 3'!J16</f>
        <v>0</v>
      </c>
      <c r="G13" s="89">
        <f>'Hazard 4'!J16</f>
        <v>0</v>
      </c>
      <c r="H13" s="89">
        <f>'Hazard 5'!J16</f>
        <v>0</v>
      </c>
    </row>
    <row r="14" spans="1:8" ht="15.75" x14ac:dyDescent="0.25">
      <c r="A14" s="160" t="s">
        <v>34</v>
      </c>
      <c r="B14" s="3" t="s">
        <v>35</v>
      </c>
      <c r="C14" s="88">
        <v>19738</v>
      </c>
      <c r="D14" s="89">
        <f>'Hazard 1'!J17</f>
        <v>0</v>
      </c>
      <c r="E14" s="89">
        <f>'Hazard 2'!J17</f>
        <v>0</v>
      </c>
      <c r="F14" s="89">
        <f>'Hazard 3'!J17</f>
        <v>0</v>
      </c>
      <c r="G14" s="89">
        <f>'Hazard 4'!J17</f>
        <v>0</v>
      </c>
      <c r="H14" s="89">
        <f>'Hazard 5'!J17</f>
        <v>0</v>
      </c>
    </row>
    <row r="15" spans="1:8" ht="15.75" x14ac:dyDescent="0.25">
      <c r="A15" s="160"/>
      <c r="B15" s="3" t="s">
        <v>36</v>
      </c>
      <c r="C15" s="88">
        <v>21624</v>
      </c>
      <c r="D15" s="89">
        <f>'Hazard 1'!J18</f>
        <v>0</v>
      </c>
      <c r="E15" s="89">
        <f>'Hazard 2'!J18</f>
        <v>0</v>
      </c>
      <c r="F15" s="89">
        <f>'Hazard 3'!J18</f>
        <v>0</v>
      </c>
      <c r="G15" s="89">
        <f>'Hazard 4'!J18</f>
        <v>0</v>
      </c>
      <c r="H15" s="89">
        <f>'Hazard 5'!J18</f>
        <v>0</v>
      </c>
    </row>
    <row r="16" spans="1:8" ht="15.75" x14ac:dyDescent="0.25">
      <c r="A16" s="160"/>
      <c r="B16" s="3" t="s">
        <v>37</v>
      </c>
      <c r="C16" s="88">
        <v>4150</v>
      </c>
      <c r="D16" s="89">
        <f>'Hazard 1'!J19</f>
        <v>0</v>
      </c>
      <c r="E16" s="89">
        <f>'Hazard 2'!J19</f>
        <v>0</v>
      </c>
      <c r="F16" s="89">
        <f>'Hazard 3'!J19</f>
        <v>0</v>
      </c>
      <c r="G16" s="89">
        <f>'Hazard 4'!J19</f>
        <v>0</v>
      </c>
      <c r="H16" s="89">
        <f>'Hazard 5'!J19</f>
        <v>0</v>
      </c>
    </row>
    <row r="17" spans="1:8" ht="15.75" x14ac:dyDescent="0.25">
      <c r="A17" s="160"/>
      <c r="B17" s="3" t="s">
        <v>38</v>
      </c>
      <c r="C17" s="88">
        <v>17640</v>
      </c>
      <c r="D17" s="89">
        <f>'Hazard 1'!J20</f>
        <v>0</v>
      </c>
      <c r="E17" s="89">
        <f>'Hazard 2'!J20</f>
        <v>0</v>
      </c>
      <c r="F17" s="89">
        <f>'Hazard 3'!J20</f>
        <v>0</v>
      </c>
      <c r="G17" s="89">
        <f>'Hazard 4'!J20</f>
        <v>0</v>
      </c>
      <c r="H17" s="89">
        <f>'Hazard 5'!J20</f>
        <v>0</v>
      </c>
    </row>
    <row r="18" spans="1:8" ht="15.75" x14ac:dyDescent="0.25">
      <c r="A18" s="160"/>
      <c r="B18" s="3" t="s">
        <v>39</v>
      </c>
      <c r="C18" s="88">
        <v>25476</v>
      </c>
      <c r="D18" s="89">
        <f>'Hazard 1'!J21</f>
        <v>0</v>
      </c>
      <c r="E18" s="89">
        <f>'Hazard 2'!J21</f>
        <v>0</v>
      </c>
      <c r="F18" s="89">
        <f>'Hazard 3'!J21</f>
        <v>0</v>
      </c>
      <c r="G18" s="89">
        <f>'Hazard 4'!J21</f>
        <v>0</v>
      </c>
      <c r="H18" s="89">
        <f>'Hazard 5'!J21</f>
        <v>0</v>
      </c>
    </row>
    <row r="19" spans="1:8" ht="15.75" x14ac:dyDescent="0.25">
      <c r="A19" s="152" t="s">
        <v>40</v>
      </c>
      <c r="B19" s="3" t="s">
        <v>41</v>
      </c>
      <c r="C19" s="88">
        <v>7496</v>
      </c>
      <c r="D19" s="89">
        <f>'Hazard 1'!J22</f>
        <v>0</v>
      </c>
      <c r="E19" s="89">
        <f>'Hazard 2'!J22</f>
        <v>0</v>
      </c>
      <c r="F19" s="89">
        <f>'Hazard 3'!J22</f>
        <v>0</v>
      </c>
      <c r="G19" s="89">
        <f>'Hazard 4'!J22</f>
        <v>0</v>
      </c>
      <c r="H19" s="89">
        <f>'Hazard 5'!J22</f>
        <v>0</v>
      </c>
    </row>
    <row r="20" spans="1:8" ht="15.75" x14ac:dyDescent="0.25">
      <c r="A20" s="152"/>
      <c r="B20" s="3" t="s">
        <v>42</v>
      </c>
      <c r="C20" s="88">
        <v>12518</v>
      </c>
      <c r="D20" s="89">
        <f>'Hazard 1'!J23</f>
        <v>0</v>
      </c>
      <c r="E20" s="89">
        <f>'Hazard 2'!J23</f>
        <v>0</v>
      </c>
      <c r="F20" s="89">
        <f>'Hazard 3'!J23</f>
        <v>0</v>
      </c>
      <c r="G20" s="89">
        <f>'Hazard 4'!J23</f>
        <v>0</v>
      </c>
      <c r="H20" s="89">
        <f>'Hazard 5'!J23</f>
        <v>0</v>
      </c>
    </row>
    <row r="21" spans="1:8" ht="15.75" x14ac:dyDescent="0.25">
      <c r="A21" s="152"/>
      <c r="B21" s="3" t="s">
        <v>43</v>
      </c>
      <c r="C21" s="88">
        <v>10042</v>
      </c>
      <c r="D21" s="89">
        <f>'Hazard 1'!J24</f>
        <v>0</v>
      </c>
      <c r="E21" s="89">
        <f>'Hazard 2'!J24</f>
        <v>0</v>
      </c>
      <c r="F21" s="89">
        <f>'Hazard 3'!J24</f>
        <v>0</v>
      </c>
      <c r="G21" s="89">
        <f>'Hazard 4'!J24</f>
        <v>0</v>
      </c>
      <c r="H21" s="89">
        <f>'Hazard 5'!J24</f>
        <v>0</v>
      </c>
    </row>
    <row r="22" spans="1:8" ht="15.75" x14ac:dyDescent="0.25">
      <c r="A22" s="152"/>
      <c r="B22" s="3" t="s">
        <v>44</v>
      </c>
      <c r="C22" s="88">
        <v>1538</v>
      </c>
      <c r="D22" s="89">
        <f>'Hazard 1'!J25</f>
        <v>0</v>
      </c>
      <c r="E22" s="89">
        <f>'Hazard 2'!J25</f>
        <v>0</v>
      </c>
      <c r="F22" s="89">
        <f>'Hazard 3'!J25</f>
        <v>0</v>
      </c>
      <c r="G22" s="89">
        <f>'Hazard 4'!J25</f>
        <v>0</v>
      </c>
      <c r="H22" s="89">
        <f>'Hazard 5'!J25</f>
        <v>0</v>
      </c>
    </row>
    <row r="23" spans="1:8" ht="15.75" x14ac:dyDescent="0.25">
      <c r="A23" s="152"/>
      <c r="B23" s="3" t="s">
        <v>45</v>
      </c>
      <c r="C23" s="88">
        <v>192</v>
      </c>
      <c r="D23" s="89">
        <f>'Hazard 1'!J26</f>
        <v>0</v>
      </c>
      <c r="E23" s="89">
        <f>'Hazard 2'!J26</f>
        <v>0</v>
      </c>
      <c r="F23" s="89">
        <f>'Hazard 3'!J26</f>
        <v>0</v>
      </c>
      <c r="G23" s="89">
        <f>'Hazard 4'!J26</f>
        <v>0</v>
      </c>
      <c r="H23" s="89">
        <f>'Hazard 5'!J26</f>
        <v>0</v>
      </c>
    </row>
    <row r="24" spans="1:8" ht="15.75" x14ac:dyDescent="0.25">
      <c r="A24" s="152"/>
      <c r="B24" s="3" t="s">
        <v>46</v>
      </c>
      <c r="C24" s="88">
        <v>14981</v>
      </c>
      <c r="D24" s="89">
        <f>'Hazard 1'!J27</f>
        <v>0</v>
      </c>
      <c r="E24" s="89">
        <f>'Hazard 2'!J27</f>
        <v>0</v>
      </c>
      <c r="F24" s="89">
        <f>'Hazard 3'!J27</f>
        <v>0</v>
      </c>
      <c r="G24" s="89">
        <f>'Hazard 4'!J27</f>
        <v>0</v>
      </c>
      <c r="H24" s="89">
        <f>'Hazard 5'!J27</f>
        <v>0</v>
      </c>
    </row>
    <row r="25" spans="1:8" ht="15.75" x14ac:dyDescent="0.25">
      <c r="A25" s="152"/>
      <c r="B25" s="3" t="s">
        <v>47</v>
      </c>
      <c r="C25" s="88">
        <v>972</v>
      </c>
      <c r="D25" s="89">
        <f>'Hazard 1'!J28</f>
        <v>0</v>
      </c>
      <c r="E25" s="89">
        <f>'Hazard 2'!J28</f>
        <v>0</v>
      </c>
      <c r="F25" s="89">
        <f>'Hazard 3'!J28</f>
        <v>0</v>
      </c>
      <c r="G25" s="89">
        <f>'Hazard 4'!J28</f>
        <v>0</v>
      </c>
      <c r="H25" s="89">
        <f>'Hazard 5'!J28</f>
        <v>0</v>
      </c>
    </row>
    <row r="26" spans="1:8" ht="15.75" x14ac:dyDescent="0.25">
      <c r="A26" s="160" t="s">
        <v>48</v>
      </c>
      <c r="B26" s="3" t="s">
        <v>49</v>
      </c>
      <c r="C26" s="88">
        <v>69241</v>
      </c>
      <c r="D26" s="89">
        <f>'Hazard 1'!J29</f>
        <v>0</v>
      </c>
      <c r="E26" s="89">
        <f>'Hazard 2'!J29</f>
        <v>0</v>
      </c>
      <c r="F26" s="89">
        <f>'Hazard 3'!J29</f>
        <v>0</v>
      </c>
      <c r="G26" s="89">
        <f>'Hazard 4'!J29</f>
        <v>0</v>
      </c>
      <c r="H26" s="89">
        <f>'Hazard 5'!J29</f>
        <v>0</v>
      </c>
    </row>
    <row r="27" spans="1:8" ht="15.75" x14ac:dyDescent="0.25">
      <c r="A27" s="160"/>
      <c r="B27" s="3" t="s">
        <v>50</v>
      </c>
      <c r="C27" s="88">
        <v>87604</v>
      </c>
      <c r="D27" s="89">
        <f>'Hazard 1'!J30</f>
        <v>0</v>
      </c>
      <c r="E27" s="89">
        <f>'Hazard 2'!J30</f>
        <v>0</v>
      </c>
      <c r="F27" s="89">
        <f>'Hazard 3'!J30</f>
        <v>0</v>
      </c>
      <c r="G27" s="89">
        <f>'Hazard 4'!J30</f>
        <v>0</v>
      </c>
      <c r="H27" s="89">
        <f>'Hazard 5'!J30</f>
        <v>0</v>
      </c>
    </row>
    <row r="28" spans="1:8" ht="15.75" x14ac:dyDescent="0.25">
      <c r="A28" s="160"/>
      <c r="B28" s="3" t="s">
        <v>51</v>
      </c>
      <c r="C28" s="88">
        <v>44402</v>
      </c>
      <c r="D28" s="89">
        <f>'Hazard 1'!J31</f>
        <v>0</v>
      </c>
      <c r="E28" s="89">
        <f>'Hazard 2'!J31</f>
        <v>0</v>
      </c>
      <c r="F28" s="89">
        <f>'Hazard 3'!J31</f>
        <v>0</v>
      </c>
      <c r="G28" s="89">
        <f>'Hazard 4'!J31</f>
        <v>0</v>
      </c>
      <c r="H28" s="89">
        <f>'Hazard 5'!J31</f>
        <v>0</v>
      </c>
    </row>
    <row r="29" spans="1:8" ht="15.75" x14ac:dyDescent="0.25">
      <c r="A29" s="160"/>
      <c r="B29" s="3" t="s">
        <v>52</v>
      </c>
      <c r="C29" s="88">
        <v>156</v>
      </c>
      <c r="D29" s="89">
        <f>'Hazard 1'!J32</f>
        <v>0</v>
      </c>
      <c r="E29" s="89">
        <f>'Hazard 2'!J32</f>
        <v>0</v>
      </c>
      <c r="F29" s="89">
        <f>'Hazard 3'!J32</f>
        <v>0</v>
      </c>
      <c r="G29" s="89">
        <f>'Hazard 4'!J32</f>
        <v>0</v>
      </c>
      <c r="H29" s="89">
        <f>'Hazard 5'!J32</f>
        <v>0</v>
      </c>
    </row>
    <row r="30" spans="1:8" ht="15.75" x14ac:dyDescent="0.25">
      <c r="A30" s="160"/>
      <c r="B30" s="3" t="s">
        <v>53</v>
      </c>
      <c r="C30" s="88">
        <v>64530</v>
      </c>
      <c r="D30" s="89">
        <f>'Hazard 1'!J33</f>
        <v>0</v>
      </c>
      <c r="E30" s="89">
        <f>'Hazard 2'!J33</f>
        <v>0</v>
      </c>
      <c r="F30" s="89">
        <f>'Hazard 3'!J33</f>
        <v>0</v>
      </c>
      <c r="G30" s="89">
        <f>'Hazard 4'!J33</f>
        <v>0</v>
      </c>
      <c r="H30" s="89">
        <f>'Hazard 5'!J33</f>
        <v>0</v>
      </c>
    </row>
    <row r="31" spans="1:8" ht="15.75" x14ac:dyDescent="0.25">
      <c r="A31" s="160"/>
      <c r="B31" s="3" t="s">
        <v>54</v>
      </c>
      <c r="C31" s="88">
        <v>18610.447477526999</v>
      </c>
      <c r="D31" s="89">
        <f>'Hazard 1'!J34</f>
        <v>0</v>
      </c>
      <c r="E31" s="89">
        <f>'Hazard 2'!J34</f>
        <v>0</v>
      </c>
      <c r="F31" s="89">
        <f>'Hazard 3'!J34</f>
        <v>0</v>
      </c>
      <c r="G31" s="89">
        <f>'Hazard 4'!J34</f>
        <v>0</v>
      </c>
      <c r="H31" s="89">
        <f>'Hazard 5'!J34</f>
        <v>0</v>
      </c>
    </row>
    <row r="32" spans="1:8" ht="15.75" x14ac:dyDescent="0.25">
      <c r="A32" s="160"/>
      <c r="B32" s="3" t="s">
        <v>55</v>
      </c>
      <c r="C32" s="88">
        <v>469</v>
      </c>
      <c r="D32" s="89">
        <f>'Hazard 1'!J35</f>
        <v>0</v>
      </c>
      <c r="E32" s="89">
        <f>'Hazard 2'!J35</f>
        <v>0</v>
      </c>
      <c r="F32" s="89">
        <f>'Hazard 3'!J35</f>
        <v>0</v>
      </c>
      <c r="G32" s="89">
        <f>'Hazard 4'!J35</f>
        <v>0</v>
      </c>
      <c r="H32" s="89">
        <f>'Hazard 5'!J35</f>
        <v>0</v>
      </c>
    </row>
    <row r="33" spans="1:8" ht="15.75" x14ac:dyDescent="0.25">
      <c r="A33" s="160"/>
      <c r="B33" s="3" t="s">
        <v>56</v>
      </c>
      <c r="C33" s="88">
        <v>195574</v>
      </c>
      <c r="D33" s="89">
        <f>'Hazard 1'!J36</f>
        <v>0</v>
      </c>
      <c r="E33" s="89">
        <f>'Hazard 2'!J36</f>
        <v>0</v>
      </c>
      <c r="F33" s="89">
        <f>'Hazard 3'!J36</f>
        <v>0</v>
      </c>
      <c r="G33" s="89">
        <f>'Hazard 4'!J36</f>
        <v>0</v>
      </c>
      <c r="H33" s="89">
        <f>'Hazard 5'!J36</f>
        <v>0</v>
      </c>
    </row>
    <row r="34" spans="1:8" ht="15.75" x14ac:dyDescent="0.25">
      <c r="A34" s="160"/>
      <c r="B34" s="3" t="s">
        <v>57</v>
      </c>
      <c r="C34" s="88">
        <v>25150</v>
      </c>
      <c r="D34" s="89">
        <f>'Hazard 1'!J37</f>
        <v>0</v>
      </c>
      <c r="E34" s="89">
        <f>'Hazard 2'!J37</f>
        <v>0</v>
      </c>
      <c r="F34" s="89">
        <f>'Hazard 3'!J37</f>
        <v>0</v>
      </c>
      <c r="G34" s="89">
        <f>'Hazard 4'!J37</f>
        <v>0</v>
      </c>
      <c r="H34" s="89">
        <f>'Hazard 5'!J37</f>
        <v>0</v>
      </c>
    </row>
    <row r="35" spans="1:8" ht="15.75" x14ac:dyDescent="0.25">
      <c r="A35" s="160"/>
      <c r="B35" s="3" t="s">
        <v>58</v>
      </c>
      <c r="C35" s="88">
        <v>2198</v>
      </c>
      <c r="D35" s="89">
        <f>'Hazard 1'!J38</f>
        <v>0</v>
      </c>
      <c r="E35" s="89">
        <f>'Hazard 2'!J38</f>
        <v>0</v>
      </c>
      <c r="F35" s="89">
        <f>'Hazard 3'!J38</f>
        <v>0</v>
      </c>
      <c r="G35" s="89">
        <f>'Hazard 4'!J38</f>
        <v>0</v>
      </c>
      <c r="H35" s="89">
        <f>'Hazard 5'!J38</f>
        <v>0</v>
      </c>
    </row>
    <row r="36" spans="1:8" ht="15.75" x14ac:dyDescent="0.25">
      <c r="A36" s="160"/>
      <c r="B36" s="3" t="s">
        <v>59</v>
      </c>
      <c r="C36" s="88">
        <v>564</v>
      </c>
      <c r="D36" s="89">
        <f>'Hazard 1'!J39</f>
        <v>0</v>
      </c>
      <c r="E36" s="89">
        <f>'Hazard 2'!J39</f>
        <v>0</v>
      </c>
      <c r="F36" s="89">
        <f>'Hazard 3'!J39</f>
        <v>0</v>
      </c>
      <c r="G36" s="89">
        <f>'Hazard 4'!J39</f>
        <v>0</v>
      </c>
      <c r="H36" s="89">
        <f>'Hazard 5'!J39</f>
        <v>0</v>
      </c>
    </row>
    <row r="37" spans="1:8" ht="15.75" x14ac:dyDescent="0.25">
      <c r="A37" s="160"/>
      <c r="B37" s="3" t="s">
        <v>60</v>
      </c>
      <c r="C37" s="88">
        <v>361</v>
      </c>
      <c r="D37" s="89">
        <f>'Hazard 1'!J40</f>
        <v>0</v>
      </c>
      <c r="E37" s="89">
        <f>'Hazard 2'!J40</f>
        <v>0</v>
      </c>
      <c r="F37" s="89">
        <f>'Hazard 3'!J40</f>
        <v>0</v>
      </c>
      <c r="G37" s="89">
        <f>'Hazard 4'!J40</f>
        <v>0</v>
      </c>
      <c r="H37" s="89">
        <f>'Hazard 5'!J40</f>
        <v>0</v>
      </c>
    </row>
  </sheetData>
  <sheetProtection sheet="1" objects="1" scenarios="1"/>
  <mergeCells count="7">
    <mergeCell ref="A26:A37"/>
    <mergeCell ref="A1:H1"/>
    <mergeCell ref="A2:B2"/>
    <mergeCell ref="A3:A7"/>
    <mergeCell ref="A8:A13"/>
    <mergeCell ref="A14:A18"/>
    <mergeCell ref="A19:A25"/>
  </mergeCells>
  <conditionalFormatting sqref="D2:H37">
    <cfRule type="top10" dxfId="2" priority="2" rank="5"/>
  </conditionalFormatting>
  <conditionalFormatting sqref="A2">
    <cfRule type="top10" dxfId="1" priority="1" rank="5"/>
  </conditionalFormatting>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InputHazards</vt:lpstr>
      <vt:lpstr>InputCounties</vt:lpstr>
      <vt:lpstr>Hazard 1</vt:lpstr>
      <vt:lpstr>Hazard 2</vt:lpstr>
      <vt:lpstr>Hazard 3</vt:lpstr>
      <vt:lpstr>Hazard 4</vt:lpstr>
      <vt:lpstr>Hazard 5</vt:lpstr>
      <vt:lpstr>Summary Results</vt:lpstr>
      <vt:lpstr>Data Bibliography</vt:lpstr>
      <vt:lpstr>DataSource</vt:lpstr>
      <vt:lpstr>TableCalculations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Huie</dc:creator>
  <cp:lastModifiedBy>JoAnne Huie</cp:lastModifiedBy>
  <dcterms:created xsi:type="dcterms:W3CDTF">2023-02-17T15:51:46Z</dcterms:created>
  <dcterms:modified xsi:type="dcterms:W3CDTF">2023-06-06T00:35:03Z</dcterms:modified>
</cp:coreProperties>
</file>